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drawingml.chart+xml" PartName="/xl/charts/chart7.xml"/>
  <Override ContentType="application/vnd.openxmlformats-officedocument.drawingml.chart+xml" PartName="/xl/charts/chart27.xml"/>
  <Override ContentType="application/vnd.openxmlformats-officedocument.drawingml.chart+xml" PartName="/xl/charts/chart14.xml"/>
  <Override ContentType="application/vnd.openxmlformats-officedocument.drawingml.chart+xml" PartName="/xl/charts/chart30.xml"/>
  <Override ContentType="application/vnd.openxmlformats-officedocument.drawingml.chart+xml" PartName="/xl/charts/chart18.xml"/>
  <Override ContentType="application/vnd.openxmlformats-officedocument.drawingml.chart+xml" PartName="/xl/charts/chart43.xml"/>
  <Override ContentType="application/vnd.openxmlformats-officedocument.drawingml.chart+xml" PartName="/xl/charts/chart13.xml"/>
  <Override ContentType="application/vnd.openxmlformats-officedocument.drawingml.chart+xml" PartName="/xl/charts/chart44.xml"/>
  <Override ContentType="application/vnd.openxmlformats-officedocument.drawingml.chart+xml" PartName="/xl/charts/chart31.xml"/>
  <Override ContentType="application/vnd.openxmlformats-officedocument.drawingml.chart+xml" PartName="/xl/charts/chart26.xml"/>
  <Override ContentType="application/vnd.openxmlformats-officedocument.drawingml.chart+xml" PartName="/xl/charts/chart39.xml"/>
  <Override ContentType="application/vnd.openxmlformats-officedocument.drawingml.chart+xml" PartName="/xl/charts/chart48.xml"/>
  <Override ContentType="application/vnd.openxmlformats-officedocument.drawingml.chart+xml" PartName="/xl/charts/chart35.xml"/>
  <Override ContentType="application/vnd.openxmlformats-officedocument.drawingml.chart+xml" PartName="/xl/charts/chart2.xml"/>
  <Override ContentType="application/vnd.openxmlformats-officedocument.drawingml.chart+xml" PartName="/xl/charts/chart22.xml"/>
  <Override ContentType="application/vnd.openxmlformats-officedocument.drawingml.chart+xml" PartName="/xl/charts/chart34.xml"/>
  <Override ContentType="application/vnd.openxmlformats-officedocument.drawingml.chart+xml" PartName="/xl/charts/chart47.xml"/>
  <Override ContentType="application/vnd.openxmlformats-officedocument.drawingml.chart+xml" PartName="/xl/charts/chart8.xml"/>
  <Override ContentType="application/vnd.openxmlformats-officedocument.drawingml.chart+xml" PartName="/xl/charts/chart17.xml"/>
  <Override ContentType="application/vnd.openxmlformats-officedocument.drawingml.chart+xml" PartName="/xl/charts/chart42.xml"/>
  <Override ContentType="application/vnd.openxmlformats-officedocument.drawingml.chart+xml" PartName="/xl/charts/chart25.xml"/>
  <Override ContentType="application/vnd.openxmlformats-officedocument.drawingml.chart+xml" PartName="/xl/charts/chart12.xml"/>
  <Override ContentType="application/vnd.openxmlformats-officedocument.drawingml.chart+xml" PartName="/xl/charts/chart21.xml"/>
  <Override ContentType="application/vnd.openxmlformats-officedocument.drawingml.chart+xml" PartName="/xl/charts/chart3.xml"/>
  <Override ContentType="application/vnd.openxmlformats-officedocument.drawingml.chart+xml" PartName="/xl/charts/chart38.xml"/>
  <Override ContentType="application/vnd.openxmlformats-officedocument.drawingml.chart+xml" PartName="/xl/charts/chart16.xml"/>
  <Override ContentType="application/vnd.openxmlformats-officedocument.drawingml.chart+xml" PartName="/xl/charts/chart41.xml"/>
  <Override ContentType="application/vnd.openxmlformats-officedocument.drawingml.chart+xml" PartName="/xl/charts/chart11.xml"/>
  <Override ContentType="application/vnd.openxmlformats-officedocument.drawingml.chart+xml" PartName="/xl/charts/chart46.xml"/>
  <Override ContentType="application/vnd.openxmlformats-officedocument.drawingml.chart+xml" PartName="/xl/charts/chart29.xml"/>
  <Override ContentType="application/vnd.openxmlformats-officedocument.drawingml.chart+xml" PartName="/xl/charts/chart37.xml"/>
  <Override ContentType="application/vnd.openxmlformats-officedocument.drawingml.chart+xml" PartName="/xl/charts/chart4.xml"/>
  <Override ContentType="application/vnd.openxmlformats-officedocument.drawingml.chart+xml" PartName="/xl/charts/chart20.xml"/>
  <Override ContentType="application/vnd.openxmlformats-officedocument.drawingml.chart+xml" PartName="/xl/charts/chart33.xml"/>
  <Override ContentType="application/vnd.openxmlformats-officedocument.drawingml.chart+xml" PartName="/xl/charts/chart24.xml"/>
  <Override ContentType="application/vnd.openxmlformats-officedocument.drawingml.chart+xml" PartName="/xl/charts/chart1.xml"/>
  <Override ContentType="application/vnd.openxmlformats-officedocument.drawingml.chart+xml" PartName="/xl/charts/chart28.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45.xml"/>
  <Override ContentType="application/vnd.openxmlformats-officedocument.drawingml.chart+xml" PartName="/xl/charts/chart15.xml"/>
  <Override ContentType="application/vnd.openxmlformats-officedocument.drawingml.chart+xml" PartName="/xl/charts/chart40.xml"/>
  <Override ContentType="application/vnd.openxmlformats-officedocument.drawingml.chart+xml" PartName="/xl/charts/chart9.xml"/>
  <Override ContentType="application/vnd.openxmlformats-officedocument.drawingml.chart+xml" PartName="/xl/charts/chart19.xml"/>
  <Override ContentType="application/vnd.openxmlformats-officedocument.drawingml.chart+xml" PartName="/xl/charts/chart32.xml"/>
  <Override ContentType="application/vnd.openxmlformats-officedocument.drawingml.chart+xml" PartName="/xl/charts/chart5.xml"/>
  <Override ContentType="application/vnd.openxmlformats-officedocument.drawingml.chart+xml" PartName="/xl/charts/chart23.xml"/>
  <Override ContentType="application/vnd.openxmlformats-officedocument.drawingml.chart+xml" PartName="/xl/charts/chart36.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LR Repository" sheetId="1" r:id="rId3"/>
    <sheet state="visible" name="Charts-SLR" sheetId="2" r:id="rId4"/>
    <sheet state="visible" name="SM Repository" sheetId="3" r:id="rId5"/>
    <sheet state="visible" name="after 2011-to process" sheetId="4" r:id="rId6"/>
    <sheet state="visible" name="SM Repository-Feb 2013 (do not " sheetId="5" r:id="rId7"/>
    <sheet state="visible" name="Venue Data &amp; Chart" sheetId="6" r:id="rId8"/>
    <sheet state="visible" name="Charts-SM" sheetId="7" r:id="rId9"/>
    <sheet state="visible" name="Related Work (survey-like)" sheetId="8" r:id="rId10"/>
    <sheet state="visible" name="Excluded papers" sheetId="9" r:id="rId11"/>
  </sheets>
  <definedNames/>
  <calcPr/>
</workbook>
</file>

<file path=xl/comments1.xml><?xml version="1.0" encoding="utf-8"?>
<comments xmlns:r="http://schemas.openxmlformats.org/officeDocument/2006/relationships" xmlns="http://schemas.openxmlformats.org/spreadsheetml/2006/main">
  <authors>
    <author/>
  </authors>
  <commentList>
    <comment authorId="0" ref="BC1">
      <text>
        <t xml:space="preserve">From paper: "Systematic Mapping Studies in Software Engineering"
</t>
      </text>
    </comment>
    <comment authorId="0" ref="BO1">
      <text>
        <t xml:space="preserve">From paper: "Systematic Mapping Studies in Software Engineering"
it seems to me that the types 1, 2, and 3 are related, but in increasing order of "maturity"
</t>
      </text>
    </comment>
    <comment authorId="0" ref="BY1">
      <text>
        <t xml:space="preserve">Based on classification/terminology by Offutt in his book:
http://cs.gmu.edu/~offutt/softwaretest/
 --vgarousi Tue Aug 02 2011 09:45:08 GMT-0600 (Mountain Daylight Time)</t>
      </text>
    </comment>
    <comment authorId="0" ref="DH1">
      <text>
        <t xml:space="preserve">put 1 whenever applicable
MORE THAN ONE can be selected
 --vgarousi Mon Aug 01 2011 14:13:24 GMT-0600 (Mountain Daylight Time)</t>
      </text>
    </comment>
    <comment authorId="0" ref="EM1">
      <text>
        <t xml:space="preserve">if the empirical study compares with another paoper, mention its title</t>
      </text>
    </comment>
    <comment authorId="0" ref="FF1">
      <text>
        <t xml:space="preserve">Each aspect is scored according to the following scheme
Weak presentation 0
Medium presentation 0,5
Strong presentation 1</t>
      </text>
    </comment>
    <comment authorId="0" ref="FJ1">
      <text>
        <t xml:space="preserve">Aspects are scored as 1 if contributing to relevance, 0 otherwise</t>
      </text>
    </comment>
    <comment authorId="0" ref="D2">
      <text>
        <t xml:space="preserve">please mark the papers you like to review with your name in cells
We will then assign the ones not taken
 --vgarousi Thu Aug 04 2011 15:17:19 GMT-0600 (Mountain Daylight Time)</t>
      </text>
    </comment>
    <comment authorId="0" ref="F2">
      <text>
        <t xml:space="preserve">Please put your peer review comments on the cells below, in the NOTES area
 --vgarousi Mon Jan 30 2012 12:16:12 GMT-0700 (Mountain Standard Time)</t>
      </text>
    </comment>
    <comment authorId="0" ref="G2">
      <text>
        <t xml:space="preserve">x would mean review is done
x/? clarifications needed
x/x would mean both review and revisions  based on reviews are done
 --vgarousi Sun Feb 26 2012 11:54:49 GMT-0700 (Mountain Standard Time)</t>
      </text>
    </comment>
    <comment authorId="0" ref="R2">
      <text>
        <t xml:space="preserve">Is the paper relevant to functional Web app testing and analysis (for purpose of verification)?
 --vgarousi Mon Aug 01 2011 16:33:58 GMT-0600 (Mountain Daylight Time)</t>
      </text>
    </comment>
    <comment authorId="0" ref="V2">
      <text>
        <t xml:space="preserve">Is there any evaluation in the paper and whether it is sound? For survey papers, we will not apply this. For technical and experimental ones, we will apply
Check: If there is a newer journal paper of a conference paper, and if the technique has not changed, then just use the journal version.
 --vgarousi Mon Aug 01 2011 16:34:08 GMT-0600 (Mountain Daylight Time)</t>
      </text>
    </comment>
    <comment authorId="0" ref="AI2">
      <text>
        <t xml:space="preserve">C: conferece
J: Journal
W: Workshop
M: Magazine
S: Symposium 
--vgarousi Wed Jul 27 2011 17:01:16 GMT-0600 (Mountain Daylight Time)</t>
      </text>
    </comment>
    <comment authorId="0" ref="AJ2">
      <text>
        <t xml:space="preserve">Taken from Google Scholar</t>
      </text>
    </comment>
    <comment authorId="0" ref="BO2">
      <text>
        <t xml:space="preserve">From paper: "Systematic Mapping Studies in Software Engineering"
A solution for a problem is proposed, the solution can be either novel or a signiﬁcant
extension of an existing technique. The potential beneﬁts and the applicability of the
solution is shown by a small example or a good line of argumentation.</t>
      </text>
    </comment>
    <comment authorId="0" ref="BP2">
      <text>
        <t xml:space="preserve">From paper: "Systematic Mapping Studies in Software Engineering"
Techniques investigated are novel and have not yet been implemented in practice.
Techniques used are for example experiments, i.e., work done in the lab.</t>
      </text>
    </comment>
    <comment authorId="0" ref="BQ2">
      <text>
        <t xml:space="preserve">From paper: "Systematic Mapping Studies in Software Engineering"
Techniques are implemented in practice and an evaluation of the technique is conducted.
That means, it is shown how the technique is implemented in practice (solution
implementation) and what are the consequences of the implementation in terms of
beneﬁts and drawbacks (implementation evaluation). This also includes to identify
problems in industry.</t>
      </text>
    </comment>
    <comment authorId="0" ref="BY2">
      <text>
        <t xml:space="preserve">N: Nodes
B: Branches
P: Paths
From Jeff Offutt: "Design test input values to satisfy coverage criteria or other engineering goal"
 --vgarousi Tue Aug 02 2011 09:46:07 GMT-0600 (Mountain Daylight Time)</t>
      </text>
    </comment>
    <comment authorId="0" ref="BZ2">
      <text>
        <t xml:space="preserve">From Jeff Offutt: "Design input test values based on domain knowledge of the program and human knowledge of testing
 --vgarousi Tue Aug 02 2011 09:46:17 GMT-0600 (Mountain Daylight Time)</t>
      </text>
    </comment>
    <comment authorId="0" ref="CA2">
      <text>
        <t xml:space="preserve">From Jeff Offutt: "Test Automation, 	Embed test values into executable test code (scripts)
 --vgarousi Tue Aug 02 2011 09:46:25 GMT-0600 (Mountain Daylight Time)</t>
      </text>
    </comment>
    <comment authorId="0" ref="CB2">
      <text>
        <t xml:space="preserve">From Jeff Offutt: "Run tests on the software and record the results
 --vgarousi Tue Aug 02 2011 09:46:36 GMT-0600 (Mountain Daylight Time)</t>
      </text>
    </comment>
    <comment authorId="0" ref="CC2">
      <text>
        <t xml:space="preserve">From Jeff Offutt: "Evaluate results of testing (pass/fail), a.k.a. test verdict, and report results to developers
 --vgarousi Tue Aug 02 2011 09:47:13 GMT-0600 (Mountain Daylight Time)</t>
      </text>
    </comment>
    <comment authorId="0" ref="CI2">
      <text>
        <t xml:space="preserve">formula</t>
      </text>
    </comment>
    <comment authorId="0" ref="CP2">
      <text>
        <t xml:space="preserve">e.g., use case, UML diagrams, FSM</t>
      </text>
    </comment>
    <comment authorId="0" ref="CQ2">
      <text>
        <t xml:space="preserve">for function, HTML element, global variables </t>
      </text>
    </comment>
    <comment authorId="0" ref="CR2">
      <text>
        <t xml:space="preserve">type: Session or Query Symbolic execution logs
, operational proﬁles</t>
      </text>
    </comment>
    <comment authorId="0" ref="DK2">
      <text>
        <t xml:space="preserve">e.g., in JUnit
 --vgarousi Thu Sep 29 2011 16:03:50 GMT-0600 (Mountain Daylight Time)</t>
      </text>
    </comment>
    <comment authorId="0" ref="DS2">
      <text>
        <t xml:space="preserve">S: Statement/line/Nodes
BL: Blocks
B: Branches
C: Condition
P: Paths
F: functions
M: Method
U: All uses
D: All defs
DU: All Def-use
O: other (mention name)</t>
      </text>
    </comment>
    <comment authorId="0" ref="DT2">
      <text>
        <t xml:space="preserve">St: state cov
Tr: Transition cov</t>
      </text>
    </comment>
    <comment authorId="0" ref="FA2">
      <text>
        <t xml:space="preserve">Internal validity threats concern factors that may affect a dependent variable and were not considered in the study.</t>
      </text>
    </comment>
    <comment authorId="0" ref="FB2">
      <text>
        <t xml:space="preserve">Construct validity threats concern the relationship between theory and observation. </t>
      </text>
    </comment>
    <comment authorId="0" ref="FC2">
      <text>
        <t xml:space="preserve">Conclusion validity concerns the relationship between the treatment and the outcome. </t>
      </text>
    </comment>
    <comment authorId="0" ref="FD2">
      <text>
        <t xml:space="preserve">External validity threats are related to the generalization of results</t>
      </text>
    </comment>
    <comment authorId="0" ref="FF2">
      <text>
        <t xml:space="preserve">Strong:(1.0)
The context is described to the degree where a reader can understand and compare it to another context. This involves description of development mode, e.g.,
contract driven, market
driven etc., development
speed, e.g., short time-tomarket, company
maturity, e.g., start-up, market leader etc.
Medium:(0.5)
The context in which the study is performed is mentioned or presented in brief but not described to the degree to which a
reader can understand
and compare it to another context.</t>
      </text>
    </comment>
    <comment authorId="0" ref="FG2">
      <text>
        <t xml:space="preserve">Strong:(1.0)
The study design is described to the degree where a reader can understand, e.g., the variables measured, the control used, the treatments, the selection/ sampling used etc.
Medium:(0.5)
The study design is briefly described, e.g. “ten students did step 1, step 2 and step 3”</t>
      </text>
    </comment>
    <comment authorId="0" ref="FH2">
      <text>
        <t xml:space="preserve">Strong:(1.0)
The validity of the evaluation is discussed in detail where threats are described and measures to limit them are detailed. This also includes presenting different types of threats to validity, e.g. conclusion, internal, external and construct.
Medium:(0.5)
The validity of the study is mentioned but not described in detail.</t>
      </text>
    </comment>
    <comment authorId="0" ref="FJ2">
      <text>
        <t xml:space="preserve">1===The evaluation is performed in a setting
representative of the intended usage
setting, i.e., industrial setting.
0===The evaluation is performed in a laboratory situation or other setting not representative of a real usage situation.</t>
      </text>
    </comment>
    <comment authorId="0" ref="FK2">
      <text>
        <t xml:space="preserve">The research method mentioned to be
used in the evaluation is one that
facilitates investigating real situations
and that is relevant for practitioners.
Research methods that are classified
as contributing to relevance are listed
below:
-Action research
-Lessons learned
-Case study
-Field study
-Interview Descriptive/ exploratory survey
Research methods classified as not contributing to relevance are listed below:
-Conceptual analysis
-Conceptual analysis/mathematical
-Laboratory experiment (human subject)
-Laboratory experiment (software)
-Other</t>
      </text>
    </comment>
    <comment authorId="0" ref="FL2">
      <text>
        <t xml:space="preserve">The subjects used in the evaluation
are representative of the intended
users of the technology, i.e.,
industry professionals.</t>
      </text>
    </comment>
    <comment authorId="0" ref="FM2">
      <text>
        <t xml:space="preserve">The scale of the applications used in the
evaluation is of realistic size, i.e., the
applications are of industrial scale.</t>
      </text>
    </comment>
    <comment authorId="0" ref="F3">
      <text>
        <t xml:space="preserve">Testing Level: I think it should be "Unit", since in white-box testing approach that they have, they derive test cases for each function/page (thus unit testing).
And System testing should be removed.
In "Type of the Evaluation Method", it should be: coverage (code, model)
For "Static Web Sites vs. Dynamic Web Apps", I think we should treat them as mutual exclusive. If it is dynamic, it will for sure support "static" pages too
The SUT name: wmforum
 --vgarousi Mon Jan 30 2012 11:26:08 GMT-0700 (Mountain Standard Time)</t>
      </text>
    </comment>
    <comment authorId="0" ref="DS3">
      <text>
        <t xml:space="preserve">both control and data flow
See 3.1</t>
      </text>
    </comment>
    <comment authorId="0" ref="DT3">
      <text>
        <t xml:space="preserve">see Section 3.1. coverage of navigation model</t>
      </text>
    </comment>
    <comment authorId="0" ref="GP3">
      <text>
        <t xml:space="preserve">114+370+72</t>
      </text>
    </comment>
    <comment authorId="0" ref="F4">
      <text>
        <t xml:space="preserve">I do not think it is a "Test method / technique", since it is a case study-based comparison of web testing techniques
So should be "other" (AI)-&gt;case study
WB testing is done here in unit level, so should "BC" be checked, also BQ=1?
And for same reason, BF be checked?
They apply BB testing techniques too, so BH=x, BN=x?
 --vgarousi Mon Jan 30 2012 11:26:08 GMT-0700 (Mountain Standard Time)</t>
      </text>
    </comment>
    <comment authorId="0" ref="G4">
      <text>
        <t xml:space="preserve">after comparison they propose their own technique, therefore AD.
can you please explain the reasons for other comments?
V: discussing in email
 --aysubetincan Tue Feb 28 2012 22:37:08 GMT+0200 (Turkey Standard Time)</t>
      </text>
    </comment>
    <comment authorId="0" ref="BH4">
      <text>
        <t xml:space="preserve">comparison</t>
      </text>
    </comment>
    <comment authorId="0" ref="CG4">
      <text>
        <t xml:space="preserve">since it is AJAX
 --vgarousi Sat Feb 18 2012 17:47:10 GMT-0700 (Mountain Standard Time)</t>
      </text>
    </comment>
    <comment authorId="0" ref="CS4">
      <text>
        <t xml:space="preserve">model from execution states</t>
      </text>
    </comment>
    <comment authorId="0" ref="DU4">
      <text>
        <t xml:space="preserve">5.4: functionality coverage: the number of use cases (functionalities implemented by the application) exercised
by each test suite. </t>
      </text>
    </comment>
    <comment authorId="0" ref="DW4">
      <text>
        <t xml:space="preserve">See Sec 5.4 Metrics
5.4: fault severity: fault severity: ability of each technique of revealing “severe” faults</t>
      </text>
    </comment>
    <comment authorId="0" ref="EA4">
      <text>
        <t xml:space="preserve">abstract: "The associated effort was also measured"
5.4: "– Preparation time: time required (man-hours) to prepare the testing environment (e.g., model extraction, requirements analysis, model construction, probes insertion, etc.)."</t>
      </text>
    </comment>
    <comment authorId="0" ref="EB4">
      <text>
        <t xml:space="preserve">5.4</t>
      </text>
    </comment>
    <comment authorId="0" ref="ED4">
      <text>
        <t xml:space="preserve">Test suite complexity: complexity of the test suite, in terms of steps (test commands) required to execute the whole suite.</t>
      </text>
    </comment>
    <comment authorId="0" ref="EI4">
      <text>
        <t xml:space="preserve">Table 2 Revealed faults
Table 3 Use cases coverage and mean number of test cases that exercise a use case
Table 4 Differences among use case coverages
Table 5 Number of test cases
Table 6 Complexity of test suites
Table 7 Required time (h) to prepare the testing environments
Eldh, S., Hansson, H., Punnekka, S., Pettersson, A., Sundmark, D.: A framework for comparing efﬁciency, effectiveness and applicability of software testing techniques. Testing: Academic &amp; Industrial Conference—Practice And Research Techniques (TAIC PART) (2006)</t>
      </text>
    </comment>
    <comment authorId="0" ref="EM4">
      <text>
        <t xml:space="preserve">Coverage-based/White-box testing: A 2-layer model for the white-box testing of Web applications
Model-based testing: Testuml: User-metric driver web applications testing
Black-box testing: no paper
also their own paper: State-based testing of ajax</t>
      </text>
    </comment>
    <comment authorId="0" ref="ES4">
      <text>
        <t xml:space="preserve">RQ1 : What is the effectiveness in revealing faults of each Web testing technique?
RQ2 : What is the effort required to apply each Web testing technique?</t>
      </text>
    </comment>
    <comment authorId="0" ref="FA4">
      <text>
        <t xml:space="preserve">One such factor is associated with the subjective steps conducted in the application of the testing techniques. Different choices could change the constructed FSM and then affect the capability of our approach to reveal faults.</t>
      </text>
    </comment>
    <comment authorId="0" ref="FB4">
      <text>
        <t xml:space="preserve">It is possible that counting the functionalities covered, the injected-faults revealed and measuring the number of test cases produced, keeping track of the hours spent, does not provide the best means to evaluate the capability of each technique to reveal faults and to measure the effort spent. </t>
      </text>
    </comment>
    <comment authorId="0" ref="FC4">
      <text>
        <t xml:space="preserve">Since our experimental study is a case study with few data (only twoWeb applications and 7 + 9 faults injected), we did not use statistical tests to reject the null hypotheses.</t>
      </text>
    </comment>
    <comment authorId="0" ref="FD4">
      <text>
        <t xml:space="preserve">The selected applications are two real, though small, Web applications belonging to different domains. Moreover, they are representative of portions of larger applications devoted to speciﬁc functionalities.</t>
      </text>
    </comment>
    <comment authorId="0" ref="FK4">
      <text>
        <t xml:space="preserve">Laboratory experiment (software)</t>
      </text>
    </comment>
    <comment authorId="0" ref="FV4">
      <text>
        <t xml:space="preserve">1. Authentication (F1)
2. Multi-lingual (F2)
3. Functionality (F3)
4. Portability (F4)
5. Navigation (F5)
6. Asynchronous communication (F6)
7. Session (F7)
8. Form construction (F8)</t>
      </text>
    </comment>
    <comment authorId="0" ref="GL4">
      <text>
        <t xml:space="preserve">they use a large number of tools, but no new one is presented
 --vgarousi Sat Feb 18 2012 17:55:46 GMT-0700 (Mountain Standard Time)</t>
      </text>
    </comment>
    <comment authorId="0" ref="F5">
      <text>
        <t xml:space="preserve">contribution: dont think a metric is proposed here. it is rather a name for their subalgorithm
cient-tier: add DOM
test artifact: add test data
technique used: it id not static analysis. code is executed. kind of concolic but there is no symbolic execution. dynamic analysis maybe?
testing activity: add automation and execution --aysubetincan Sat Feb 04 2012 17:29:27 GMT+0200 (Turkey Standard Time)</t>
      </text>
    </comment>
    <comment authorId="0" ref="BC5">
      <text>
        <t xml:space="preserve">a framework for feed-back directed testing of JavaScript applications. 
Several test generation algorithms are created by instantiating the framework with different prioritization functions and input generators that employ feedback mechanisms. --Mirshokraie October-04-11 10:36:35 PM</t>
      </text>
    </comment>
    <comment authorId="0" ref="BD5">
      <text>
        <t xml:space="preserve">called Artemis</t>
      </text>
    </comment>
    <comment authorId="0" ref="BE5">
      <text>
        <t xml:space="preserve">It captures event-driven execution model and interaction with DOM. The framework is parameterized by: (i) an execution unit to model the browser and server, (ii) an input generator to produce new input sequences, (iii) a prioritizer to guide the exploration of the application’s state space. --Mirshokraie October-04-11 10:40:24 PM</t>
      </text>
    </comment>
    <comment authorId="0" ref="BF5">
      <text>
        <t xml:space="preserve">code coverage --Mirshokraie October-04-11 9:29:51 PM</t>
      </text>
    </comment>
    <comment authorId="0" ref="BL5">
      <text>
        <t xml:space="preserve">It captures event-driven execution model and interaction with DOM. The framework is parameterized by: (i) an execution unit to model the browser and server, (ii) an input generator to produce new input sequences, (iii) a prioritizer to guide the exploration of the application’s state space. --Mirshokraie October-04-11 10:40:24 PM</t>
      </text>
    </comment>
    <comment authorId="0" ref="BN5">
      <text>
        <t xml:space="preserve">Captures the interaction with DOM and uses it</t>
      </text>
    </comment>
    <comment authorId="0" ref="DS5">
      <text>
        <t xml:space="preserve">The execution unit can then measure which lines in which ﬁles have been executed by the tests to calculate line and branch coverage</t>
      </text>
    </comment>
    <comment authorId="0" ref="DV5">
      <text>
        <t xml:space="preserve">"How many HTML validity errors and runtime errors are detected by the different algorithms?"</t>
      </text>
    </comment>
    <comment authorId="0" ref="EB5">
      <text>
        <t xml:space="preserve">"What level of code coverage is achieved by each of the test
generation algorithms under consideration, 
when each is allowed to generate the same number of tests?"</t>
      </text>
    </comment>
    <comment authorId="0" ref="ES5">
      <text>
        <t xml:space="preserve">RQs:
1-Does the events feedback-directed algorithm achieve signiﬁcantly better coverage than initial? If so, then the feedbackdirected framework itself with just the default instantiation is useful.
2-What level of code coverage is achieved by each of the test generation algorithms under consideration, when each is allowed to generate the same number of tests?
3-How quickly does each of the feedback-directed algorithms converge on the maximal coverage that it will achieve?
4-How many HTML validity errors and runtime errors are detected by the different algorithms?</t>
      </text>
    </comment>
    <comment authorId="0" ref="FD5">
      <text>
        <t xml:space="preserve">"selected
benchmarks might not be representative of real-world JavaScript
programs, because they are small, or because they lack a significant
server-side component"</t>
      </text>
    </comment>
    <comment authorId="0" ref="FJ5">
      <text>
        <t xml:space="preserve">from IBM</t>
      </text>
    </comment>
    <comment authorId="0" ref="FK5">
      <text>
        <t xml:space="preserve">Laboratory experiment (software)</t>
      </text>
    </comment>
    <comment authorId="0" ref="GP5">
      <text>
        <t xml:space="preserve">393, 250, 156, 256, 697, 156, 750, 2037, 568, 1857</t>
      </text>
    </comment>
    <comment authorId="0" ref="GS5">
      <text>
        <t xml:space="preserve">10 subjects --Mirshokraie October-04-11 12:43:38 PM</t>
      </text>
    </comment>
    <comment authorId="0" ref="F6">
      <text>
        <t xml:space="preserve">check BX there is a model as a test artifact --aysubetincan Thu Feb 09 2012 22:52:37 GMT+0200 (Turkey Standard Time)</t>
      </text>
    </comment>
    <comment authorId="0" ref="BH6">
      <text>
        <t xml:space="preserve">Empirical study to explore factors in building usage-based
navigation models and the effects on the resultant abstract test cases--Mirshokraie October-06-11 3:58:46 PM</t>
      </text>
    </comment>
    <comment authorId="0" ref="BY6">
      <text>
        <t xml:space="preserve">finding a practical approaches to construct
usage-based navigation models for test case generation. 
Goal: easily tuning statistical model-based automatic test case generators
toward generating tests closely related to user behavior
or toward new navigations without using large additional
test resources.
--Mirshokraie October-06-11 4:15:45 PM</t>
      </text>
    </comment>
    <comment authorId="0" ref="DE6">
      <text>
        <t xml:space="preserve">"One promising approach to automatic test generation is statistical model-based testing"</t>
      </text>
    </comment>
    <comment authorId="0" ref="DT6">
      <text>
        <t xml:space="preserve">"We analyzed the abstract test suites’ coverage of the navigation model’s edges and found that coverage ranged from 43% for DSpace when n=3 to 96% for Book"</t>
      </text>
    </comment>
    <comment authorId="0" ref="ED6">
      <text>
        <t xml:space="preserve"># of States, # of edges in the naviation model</t>
      </text>
    </comment>
    <comment authorId="0" ref="ES6">
      <text>
        <t xml:space="preserve">1. What are the most practical approaches to constructing usage-based navigation models for test case generation? 
2. What are the characteristics of the generated abstract test cases for different model con?gurations and how can they be tuned for different testing goals? </t>
      </text>
    </comment>
    <comment authorId="0" ref="FD6">
      <text>
        <t xml:space="preserve">"additional sets of
user sessions and applications may be necessary to generalize
the results"</t>
      </text>
    </comment>
    <comment authorId="0" ref="FH6">
      <text>
        <t xml:space="preserve">NOT different types of threats to validity</t>
      </text>
    </comment>
    <comment authorId="0" ref="FK6">
      <text>
        <t xml:space="preserve">Laboratory experiment (software)</t>
      </text>
    </comment>
    <comment authorId="0" ref="FZ6">
      <text>
        <t xml:space="preserve">user-session testing done at server side --Mirshokraie October-06-11 4:32:15 PM</t>
      </text>
    </comment>
    <comment authorId="0" ref="GP6">
      <text>
        <t xml:space="preserve">602, 5279, 7430, 10718, 30847</t>
      </text>
    </comment>
    <comment authorId="0" ref="F7">
      <text>
        <t xml:space="preserve">I am thinking that Symbolic Execution is a type of "Dynamic Verification (analysis)", b'cos, we are dynamically run the code, thus "AS". What do you think?
It might be a good idea to clear the "AY" since this is not a testing paper, to prevent its impact on the charts and statistics later, same for "CC". 
 --vgarousi Mon Jan 30 2012 11:26:08 GMT-0700 (Mountain Standard Time)</t>
      </text>
    </comment>
    <comment authorId="0" ref="G7">
      <text>
        <t xml:space="preserve">here static and dynamic analyses are combined. real exe:dynamic, symbolic: static
threfore I checked both
--aysubetincan Mon Mar 05 2012 09:24:59 GMT+0200 (Turkey Standard Time)</t>
      </text>
    </comment>
    <comment authorId="0" ref="Q7">
      <text>
        <t xml:space="preserve">to discuss
 --vgarousi Tue Aug 02 2011 06:36:10 GMT-0600 (Mountain Daylight Time)</t>
      </text>
    </comment>
    <comment authorId="0" ref="DL7">
      <text>
        <t xml:space="preserve">not testing
 --aysubetincan Mon Mar 05 2012 09:24:16 GMT+0200 (Turkey Standard Time)</t>
      </text>
    </comment>
    <comment authorId="0" ref="DS7">
      <text>
        <t xml:space="preserve">Table 3 "code coverage"</t>
      </text>
    </comment>
    <comment authorId="0" ref="DU7">
      <text>
        <t xml:space="preserve">Table IV</t>
      </text>
    </comment>
    <comment authorId="0" ref="DW7">
      <text>
        <t xml:space="preserve">Table III</t>
      </text>
    </comment>
    <comment authorId="0" ref="EA7">
      <text>
        <t xml:space="preserve">Figure 13: The constraint solver’s running time (in seconds)</t>
      </text>
    </comment>
    <comment authorId="0" ref="FK7">
      <text>
        <t xml:space="preserve">Laboratory experiment (software)</t>
      </text>
    </comment>
    <comment authorId="0" ref="F8">
      <text>
        <t xml:space="preserve">There seems to be a proposed model as well "User Session Information Model", in page 3, thus AF=x?
I added the metric names on AG
Why is it a "process"? I think it should be instead a "Technique" as in the title.
A test suite minimization techniques as well, under AY?
 --vgarousi Mon Jan 30 2012 11:26:08 GMT-0700 (Mountain Standard Time)</t>
      </text>
    </comment>
    <comment authorId="0" ref="BF8">
      <text>
        <t xml:space="preserve">-Essentiality criterion
-Row dominance criterion
-Column dominance criterion
 --vgarousi Sun Feb 19 2012 17:40:27 GMT-0700 (Mountain Standard Time)</t>
      </text>
    </comment>
    <comment authorId="0" ref="CE8">
      <text>
        <t xml:space="preserve">test suite minimization</t>
      </text>
    </comment>
    <comment authorId="0" ref="DF8">
      <text>
        <t xml:space="preserve">classification of user logs
-vgarousi Mon Jan 23 2012 10:32:36 GMT-0700 (Mountain Standard Time)</t>
      </text>
    </comment>
    <comment authorId="0" ref="GO8">
      <text>
        <t xml:space="preserve">discussed in 2nd paragraph of Section 4
 --vgarousi Sun Feb 19 2012 19:07:02 GMT-0700 (Mountain Standard Time)</t>
      </text>
    </comment>
    <comment authorId="0" ref="GP8">
      <text>
        <t xml:space="preserve">bookstore web application </t>
      </text>
    </comment>
    <comment authorId="0" ref="BC9">
      <text>
        <t xml:space="preserve">We have presented a highly automated model-based testing
approach for web applications that has been implemented in
a research tool</t>
      </text>
    </comment>
    <comment authorId="0" ref="BD9">
      <text>
        <t xml:space="preserve">has been implemented as a research tool1 using the Java programming
language and Eclipse Modelling Framework/Xtext
technology2. http://www.mbt4web.fh-stralsund.de/</t>
      </text>
    </comment>
    <comment authorId="0" ref="BE9">
      <text>
        <t xml:space="preserve">modeling WA with DSL</t>
      </text>
    </comment>
    <comment authorId="0" ref="BG9">
      <text>
        <t xml:space="preserve">see fig.1</t>
      </text>
    </comment>
    <comment authorId="0" ref="BJ9">
      <text>
        <t xml:space="preserve">Fig. 2. Graphical representation of the example</t>
      </text>
    </comment>
    <comment authorId="0" ref="BN9">
      <text>
        <t xml:space="preserve">Model of WA is given using DSL</t>
      </text>
    </comment>
    <comment authorId="0" ref="BX9">
      <text>
        <t xml:space="preserve">We have designed a model-based black box testing
approach for web applications with extensive automation
along the whole process from the model to executable test
cases.</t>
      </text>
    </comment>
    <comment authorId="0" ref="BY9">
      <text>
        <t xml:space="preserve">NusMV is executed and the generated specifications are
checked. The resulting counterexample traces are converted
into test tool independent test cases</t>
      </text>
    </comment>
    <comment authorId="0" ref="CA9">
      <text>
        <t xml:space="preserve">We have designed a model-based black box testing
approach for web applications with extensive automation
along the whole process from the model to executable test
cases.</t>
      </text>
    </comment>
    <comment authorId="0" ref="CB9">
      <text>
        <t xml:space="preserve">proposed model-based testing workflow is
has been implemented in a research tool (Eclipse plugin)</t>
      </text>
    </comment>
    <comment authorId="0" ref="CC9">
      <text>
        <t xml:space="preserve">Arbitrary sophisticated test oracles can be produced using
pre-fabricated XPath expressions stored in the UI
mapping file that can be parameterized during test case
generation with model variable values. In the generated
test script, a command is inserted that will evaluate
the web page, checking for the existence of elements
matching the XPath expression.</t>
      </text>
    </comment>
    <comment authorId="0" ref="CI9">
      <text>
        <t xml:space="preserve">system level test. Generated test cases are system level.</t>
      </text>
    </comment>
    <comment authorId="0" ref="CM9">
      <text>
        <t xml:space="preserve">see Listing 4.</t>
      </text>
    </comment>
    <comment authorId="0" ref="CT9">
      <text>
        <t xml:space="preserve">At first the model is defined by DSL</t>
      </text>
    </comment>
    <comment authorId="0" ref="CY9">
      <text>
        <t xml:space="preserve">The Kripke structure is constructed from the DSL
and the coverage criteria selected by the user are translated
into temporal logic expressions (either Computation Tree
Logic/CTL or Linear Temporal Logic/LTL, depending on the
criterion) to be checked</t>
      </text>
    </comment>
    <comment authorId="0" ref="DK9">
      <text>
        <t xml:space="preserve">application model DSL
is transformed into the NuSMV input language. test tool independent test cases are generated.</t>
      </text>
    </comment>
    <comment authorId="0" ref="DN9">
      <text>
        <t xml:space="preserve">the input model is manually created by tester using DSL.</t>
      </text>
    </comment>
    <comment authorId="0" ref="DO9">
      <text>
        <t xml:space="preserve">after creating the model. Test case generation process is automated</t>
      </text>
    </comment>
    <comment authorId="0" ref="DS9">
      <text>
        <t xml:space="preserve">the coverage criteria are input to the test case generation process but there is no effectiveness evaluation section in paper</t>
      </text>
    </comment>
    <comment authorId="0" ref="FZ9">
      <text>
        <t xml:space="preserve">html is mentioned but just for example
not applicable</t>
      </text>
    </comment>
    <comment authorId="0" ref="GM9">
      <text>
        <t xml:space="preserve">http://www.mbt4web.fh-stralsund.de/</t>
      </text>
    </comment>
    <comment authorId="0" ref="GO9">
      <text>
        <t xml:space="preserve">open
source bug tracking application. http://www.mantisbt.org/</t>
      </text>
    </comment>
    <comment authorId="0" ref="F10">
      <text>
        <t xml:space="preserve">should AE=x ? it is more of a test method.
V: “A support tool, named WAT (Web Application Testing), is implemented to automate the testing process.”
 --Mirshokraie March-04-12 10:46:22 PM</t>
      </text>
    </comment>
    <comment authorId="0" ref="BD10">
      <text>
        <t xml:space="preserve">"A support tool, named WAT (Web Application Testing), is implemented to automate the testing process.”</t>
      </text>
    </comment>
    <comment authorId="0" ref="BV10">
      <text>
        <t xml:space="preserve">data-flow WB testing 
interesting: at the method level, object level, and object cluster level, from low abstraction level to high abstraction level.
--vgarousi Tue Aug 09 2011 18:32:36 GMT-0600 (Mountain Daylight Time)</t>
      </text>
    </comment>
    <comment authorId="0" ref="BY10">
      <text>
        <t xml:space="preserve">def-use pair coverage</t>
      </text>
    </comment>
    <comment authorId="0" ref="CA10">
      <text>
        <t xml:space="preserve">an agent-based framework  
(see Sec 3.2 of paper)
--vgarousi Tue Aug 09 2011 20:17:33 GMT-0600 (Mountain Daylight Time)</t>
      </text>
    </comment>
    <comment authorId="0" ref="CI10">
      <text>
        <t xml:space="preserve">JS in HTML
JSP in server</t>
      </text>
    </comment>
    <comment authorId="0" ref="CL10">
      <text>
        <t xml:space="preserve">WB, Object cluster level testing
 --vgarousi Tue Aug 09 2011 20:39:48 GMT-0600 (Mountain Daylight Time)</t>
      </text>
    </comment>
    <comment authorId="0" ref="CY10">
      <text>
        <t xml:space="preserve">using agents, goals: Minimize Cost and Maximize Coverage.
 --vgarousi Tue Aug 09 2011 20:44:52 GMT-0600 (Mountain Daylight Time)</t>
      </text>
    </comment>
    <comment authorId="0" ref="DF10">
      <text>
        <t xml:space="preserve">using agents, goals: Minimize Cost and Maximize Coverage.
 --vgarousi Tue Aug 09 2011 20:44:52 GMT-0600 (Mountain Daylight Time)</t>
      </text>
    </comment>
    <comment authorId="0" ref="DI10">
      <text>
        <t xml:space="preserve">def-use pairs
 --vgarousi Tue Aug 09 2011 20:46:01 GMT-0600 (Mountain Daylight Time)</t>
      </text>
    </comment>
    <comment authorId="0" ref="DO10">
      <text>
        <t xml:space="preserve">they say "To automate the data-Xow testing described in Section
3.1, an agent-based framework is proposed."
 --vgarousi Tue Aug 09 2011 21:42:10 GMT-0600 (Mountain Daylight Time)</t>
      </text>
    </comment>
    <comment authorId="0" ref="GL10">
      <text>
        <t xml:space="preserve">An agent-based framework
 --vgarousi Tue Aug 09 2011 21:46:39 GMT-0600 (Mountain Daylight Time)</t>
      </text>
    </comment>
    <comment authorId="0" ref="GQ10">
      <text>
        <t xml:space="preserve">A Home Appliance Control System-HACS consists of 8 JSPfiles, 2 HTMLfiles, and an Enterprise JavaBean that contains 23 Java Wles.
 --vgarousi Tue Aug 09 2011 21:47:56 GMT-0600 (Mountain Daylight Time)</t>
      </text>
    </comment>
    <comment authorId="0" ref="S11">
      <text>
        <t xml:space="preserve">Automated test case generation for regression testing.</t>
      </text>
    </comment>
    <comment authorId="0" ref="W11">
      <text>
        <t xml:space="preserve">Has a rich empirical evaluation section</t>
      </text>
    </comment>
    <comment authorId="0" ref="BC11">
      <text>
        <t xml:space="preserve">proposes a new test
case generation approach that creates executable test cases
using program slices considering both string and numeric
input values. </t>
      </text>
    </comment>
    <comment authorId="0" ref="BD11">
      <text>
        <t xml:space="preserve">They
implemented a PHP Analysis and Regression Testing Engine
(PARTE)</t>
      </text>
    </comment>
    <comment authorId="0" ref="BE11">
      <text>
        <t xml:space="preserve">program dependence graphs (PDGs) </t>
      </text>
    </comment>
    <comment authorId="0" ref="BG11">
      <text>
        <t xml:space="preserve">Figure 1: Overview of PARTE</t>
      </text>
    </comment>
    <comment authorId="0" ref="BN11">
      <text>
        <t xml:space="preserve">To
perform impact analysis, PARTE constructs program
dependence graphs (PDGs) using abstract syntax trees
(ASTs) generated by a PHP compiler,</t>
      </text>
    </comment>
    <comment authorId="0" ref="BV11">
      <text>
        <t xml:space="preserve">regression testing</t>
      </text>
    </comment>
    <comment authorId="0" ref="BY11">
      <text>
        <t xml:space="preserve">See II.C. Test Generation
They use path coverage...</t>
      </text>
    </comment>
    <comment authorId="0" ref="CA11">
      <text>
        <t xml:space="preserve">To facilitate their approach, they
implemented a PHP Analysis and Regression Testing Engine
(PARTE).</t>
      </text>
    </comment>
    <comment authorId="0" ref="CH11">
      <text>
        <t xml:space="preserve">since it it for PHP</t>
      </text>
    </comment>
    <comment authorId="0" ref="CN11">
      <text>
        <t xml:space="preserve">Generating unit tests for changed parts of the application by analysing the code</t>
      </text>
    </comment>
    <comment authorId="0" ref="CX11">
      <text>
        <t xml:space="preserve">analysing code and determining paths for generating test cases</t>
      </text>
    </comment>
    <comment authorId="0" ref="DF11">
      <text>
        <t xml:space="preserve">using static code analysis but it is used for determining the changed parts of codes in order to generate test cases for regression testing</t>
      </text>
    </comment>
    <comment authorId="0" ref="DH11">
      <text>
        <t xml:space="preserve">"Using a constraint solver, we can choose input values "</t>
      </text>
    </comment>
    <comment authorId="0" ref="DI11">
      <text>
        <t xml:space="preserve">test cases and paths for regression testing</t>
      </text>
    </comment>
    <comment authorId="0" ref="DO11">
      <text>
        <t xml:space="preserve">they execute the generated test cases by their own tool PARTE</t>
      </text>
    </comment>
    <comment authorId="0" ref="DX11">
      <text>
        <t xml:space="preserve">Table IV: Test Path Reduction Rates over the Control Technique</t>
      </text>
    </comment>
    <comment authorId="0" ref="EB11">
      <text>
        <t xml:space="preserve">- number of test paths
- number of new test cases
See Section III
"As stated in Section I, we wished to assess our regression testing approach in terms of the number of new test cases generated by our approach."</t>
      </text>
    </comment>
    <comment authorId="0" ref="FA11">
      <text>
        <t xml:space="preserve">The outcome of our study could be affected by the choice of program analysis. We applied static analysis on a dynamic programming language, PHP. To do so, we had to change many statements in the program during the ﬁle preparation phase, removing and ﬁxing many dynamic environment variables. However, we carefully ex-amined our process to minimize the adversary effect that might be introduced into the converted ﬁles.</t>
      </text>
    </comment>
    <comment authorId="0" ref="FD11">
      <text>
        <t xml:space="preserve">representativeness of SUTs   2)  seeded faults may not be accurate representations of natural faults</t>
      </text>
    </comment>
    <comment authorId="0" ref="GO11">
      <text>
        <t xml:space="preserve">type here
This corresponds to 6 SUTs actually.</t>
      </text>
    </comment>
    <comment authorId="0" ref="GP11">
      <text>
        <t xml:space="preserve">FAQForge 1.3.0 : 1806 lines 20 pages
FAQForge 1.3.1 1837 lines 20 pages
FAQForge 1.3.2 1671 lines 18 pages
osCommerce 2.2MS1 : 53510 lines 302 pages
osCommerce 2.2MS2 : 68330 lines 506 pages
osCommerce 2.2MS2-060817 : 78892 lines 502 pages</t>
      </text>
    </comment>
    <comment authorId="0" ref="F12">
      <text>
        <t xml:space="preserve">Regarding BJ, are user logs the primary source of information to derive test cases? 
V: yes, please see Fig 2
no requirements (when they compare different test suite reductions)? 
V: right. In Fig 2.
--Mirshokraie March-04-12 11:24:49 PM</t>
      </text>
    </comment>
    <comment authorId="0" ref="BH12">
      <text>
        <t xml:space="preserve">Empirical Comparison
</t>
      </text>
    </comment>
    <comment authorId="0" ref="CE12">
      <text>
        <t xml:space="preserve">test minimization</t>
      </text>
    </comment>
    <comment authorId="0" ref="CH12">
      <text>
        <t xml:space="preserve">we target web applications written in Java using servlets and JSPs. The applications consist of a back-end data store and a web server.
 --vgarousi Sun Aug 21 2011 16:24:03 GMT-0600 (Mountain Daylight Time)</t>
      </text>
    </comment>
    <comment authorId="0" ref="CP12">
      <text>
        <t xml:space="preserve">See Fig. 2 (create requirements mapping for each test case)
</t>
      </text>
    </comment>
    <comment authorId="0" ref="DE12">
      <text>
        <t xml:space="preserve">"requirements-based reduction techniques and a concept analysis-based approach."</t>
      </text>
    </comment>
    <comment authorId="0" ref="DF12">
      <text>
        <t xml:space="preserve">"requirements-based reduction techniques and a concept analysis-based approach."</t>
      </text>
    </comment>
    <comment authorId="0" ref="DS12">
      <text>
        <t xml:space="preserve">"method/statement/condition coverage"</t>
      </text>
    </comment>
    <comment authorId="0" ref="EA12">
      <text>
        <t xml:space="preserve">see abstract</t>
      </text>
    </comment>
    <comment authorId="0" ref="EC12">
      <text>
        <t xml:space="preserve">space costs</t>
      </text>
    </comment>
    <comment authorId="0" ref="EI12">
      <text>
        <t xml:space="preserve">We compared the reduced test suite size, program coverage, fault detection, and time and space costs of each of the techniques for two web applications. </t>
      </text>
    </comment>
    <comment authorId="0" ref="EM12">
      <text>
        <t xml:space="preserve">HGS technique: [11] M. J. Harrold, R. Gupta, and M. L. Soffa. A methodology for controlling the size of a test suite. ACM Transactions on Software Engineering Methodology, 2(3):270–285, 1993.
</t>
      </text>
    </comment>
    <comment authorId="0" ref="ES12">
      <text>
        <t xml:space="preserve">Question 1. By what percentages do the various reduction techniques reduce the test suite size?
Question 2. How effective is the program coverage of the reduced suites as compared to the original suite?
Question 3. Compared to the original suite, how effective are the reduced suites with respect to fault detection?
Question 4. What are the relative time and space costs of the reduction techniques?</t>
      </text>
    </comment>
    <comment authorId="0" ref="EZ12">
      <text>
        <t xml:space="preserve">The statistical analysis of our results indicates that concept analysis-based reduction is a cost-effective alternative to requirements-based approaches.</t>
      </text>
    </comment>
    <comment authorId="0" ref="FD12">
      <text>
        <t xml:space="preserve">"This empirical comparison needs to be
evaluated further by experimenting with larger real-world
web applications"</t>
      </text>
    </comment>
    <comment authorId="0" ref="FK12">
      <text>
        <t xml:space="preserve">Laboratory experiment (software)</t>
      </text>
    </comment>
    <comment authorId="0" ref="FM12">
      <text>
        <t xml:space="preserve">LOC=17091</t>
      </text>
    </comment>
    <comment authorId="0" ref="FZ12">
      <text>
        <t xml:space="preserve">since User-session-based Testing is for server-side testing only
 --vgarousi Sun Aug 21 2011 16:28:44 GMT-0600 (Mountain Daylight Time)</t>
      </text>
    </comment>
    <comment authorId="0" ref="GL12">
      <text>
        <t xml:space="preserve">no tool since this is a Empirical Comparison paper
 --vgarousi Sun Aug 21 2011 16:29:52 GMT-0600 (Mountain Daylight Time)</t>
      </text>
    </comment>
    <comment authorId="0" ref="GP12">
      <text>
        <t xml:space="preserve">7791+9300</t>
      </text>
    </comment>
    <comment authorId="0" ref="F13">
      <text>
        <t xml:space="preserve">1) evalution paper? i am not sure. it is proposing an analysis model but it is using their previous tools 
2) maybe adding dataflow testing as other methodology
--aysubetincan Thu Feb 09 2012 23:31:51 GMT+0200 (Turkey Standard Time)</t>
      </text>
    </comment>
    <comment authorId="0" ref="BD13">
      <text>
        <t xml:space="preserve">ReWeb and TestWeb </t>
      </text>
    </comment>
    <comment authorId="0" ref="BE13">
      <text>
        <t xml:space="preserve">UML model </t>
      </text>
    </comment>
    <comment authorId="0" ref="BJ13">
      <text>
        <t xml:space="preserve">UML model </t>
      </text>
    </comment>
    <comment authorId="0" ref="BN13">
      <text>
        <t xml:space="preserve">ReWeb generates the UML model and TestWeb generates test cases using this model</t>
      </text>
    </comment>
    <comment authorId="0" ref="BX13">
      <text>
        <t xml:space="preserve">Dynamic validation of two web applications --Mirshokraie October-07-11 1:56:56 AM</t>
      </text>
    </comment>
    <comment authorId="0" ref="BY13">
      <text>
        <t xml:space="preserve">Test cases are sequences of URLs, when executed, the coverage of the selected criterion is achieved </t>
      </text>
    </comment>
    <comment authorId="0" ref="CB13">
      <text>
        <t xml:space="preserve">Recording results and re-execute for regression testing </t>
      </text>
    </comment>
    <comment authorId="0" ref="CN13">
      <text>
        <t xml:space="preserve">Driving Web application testing such that it can be used to define white
box testing criteria</t>
      </text>
    </comment>
    <comment authorId="0" ref="DF13">
      <text>
        <t xml:space="preserve">dataflow testing --Mirshokraie March-17-12 4:40:26 PM</t>
      </text>
    </comment>
    <comment authorId="0" ref="DH13">
      <text>
        <t xml:space="preserve">Input values in each URL sequence are left empty which should be filled by the user. --Mirshokraie October-07-11 2:48:10 AM</t>
      </text>
    </comment>
    <comment authorId="0" ref="DI13">
      <text>
        <t xml:space="preserve">Generated test cases
are sequences of URLs for the coverage
of the selected criterion --Mirshokraie October-07-11 2:46:26 AM</t>
      </text>
    </comment>
    <comment authorId="0" ref="DO13">
      <text>
        <t xml:space="preserve">semi-automated --Mirshokraie October-07-11 2:49:37 AM</t>
      </text>
    </comment>
    <comment authorId="0" ref="DS13">
      <text>
        <t xml:space="preserve">Exercising the two websites up to a satisfactory level of coverage </t>
      </text>
    </comment>
    <comment authorId="0" ref="DU13">
      <text>
        <t xml:space="preserve">Page testing: every page in the site is visited at least once in some test case.   
Hyperlink testing: every hyperlink from every page in the site is traversed at least once.</t>
      </text>
    </comment>
    <comment authorId="0" ref="EH13">
      <text>
        <t xml:space="preserve">From the paper in the experimental result section : Execution of the full test suite and manual verification of the outcomes take about 1 working day.  </t>
      </text>
    </comment>
    <comment authorId="0" ref="FK13">
      <text>
        <t xml:space="preserve">Laboratory experiment (software)</t>
      </text>
    </comment>
    <comment authorId="0" ref="GQ13">
      <text>
        <t xml:space="preserve">They didn't mention anything about Wordnet. Just say that a portion of Wordnet has been examined. --Mirshokraie October-07-11 3:29:02 AM</t>
      </text>
    </comment>
    <comment authorId="0" ref="F14">
      <text>
        <t xml:space="preserve">1)wrong comment in column DC:They did not mention whether they implement their algorithm with java 
2) SUT uses JSP, check colum DE
3) check column CF:coverage checked with clover
4) check column CG:manual fault seeding
5)although focus is on test reduction, they do generate test inputs (BY) and test code(scripts)
6) check BV: they also give a replay mechanism
 --aysubetincan Thu Feb 09 2012 15:01:06 GMT+0200 (GTB Standard Time)</t>
      </text>
    </comment>
    <comment authorId="0" ref="BC14">
      <text>
        <t xml:space="preserve">An approach for test suite reduction </t>
      </text>
    </comment>
    <comment authorId="0" ref="BP14">
      <text>
        <t xml:space="preserve">From the paper: We Provide evidence of the potential effectiveness of applying the proposed methodology.
 --Mirshokraie Fri 07 Oct 2011 01:25:45 PM PDT</t>
      </text>
    </comment>
    <comment authorId="0" ref="BV14">
      <text>
        <t xml:space="preserve">They would like to test the functionality of web applications by using concept analysis for generating reduced test suits --Mirshokraie Fri 07 Oct 2011 02:44:59 PM PDT</t>
      </text>
    </comment>
    <comment authorId="0" ref="BW14">
      <text>
        <t xml:space="preserve">concept analysis on user logs --Mirshokraie Fri 07 Oct 2011 02:42:53 PM PDT</t>
      </text>
    </comment>
    <comment authorId="0" ref="CB14">
      <text>
        <t xml:space="preserve">Capture and replay --Mirshokraie Fri 07 Oct 2011 01:29:00 PM PDT</t>
      </text>
    </comment>
    <comment authorId="0" ref="CH14">
      <text>
        <t xml:space="preserve">The approach is based on user log sessions --Mirshokraie Fri 07 Oct 2011 01:29:21 PM PDT</t>
      </text>
    </comment>
    <comment authorId="0" ref="CR14">
      <text>
        <t xml:space="preserve">Note: They do not computing the requirements' mapping prior to reductipon--&gt;time saving --Mirshokraie Fri 07 Oct 2011 01:32:58 PM PDT</t>
      </text>
    </comment>
    <comment authorId="0" ref="DF14">
      <text>
        <t xml:space="preserve">concept analysis</t>
      </text>
    </comment>
    <comment authorId="0" ref="DL14">
      <text>
        <t xml:space="preserve">Reduced test suites --Mirshokraie Fri 07 Oct 2011 01:52:31 PM PDT</t>
      </text>
    </comment>
    <comment authorId="0" ref="DW14">
      <text>
        <t xml:space="preserve">"The setup for the fault detection study consisted of manually seeding faults in the application such that each version of the application contained one seeded fault."</t>
      </text>
    </comment>
    <comment authorId="0" ref="EA14">
      <text>
        <t xml:space="preserve">6 THEORETICAL SPACE AND TIME COSTS
test oracle time, see Table 1</t>
      </text>
    </comment>
    <comment authorId="0" ref="EI14">
      <text>
        <t xml:space="preserve">Fig. 8. Reduced test suite size
Fig. 9. Program coverage effectiveness
Fig. 11. Fault detection effectiveness</t>
      </text>
    </comment>
    <comment authorId="0" ref="EP14">
      <text>
        <t xml:space="preserve">replay time, oracle time </t>
      </text>
    </comment>
    <comment authorId="0" ref="ES14">
      <text>
        <t xml:space="preserve">1. How much test-case reduction can be achieved by applying the different reduction heuristics?
2. How effective are the reduced test suites in terms of program coverage and fault detection?
3. What is the cost effectiveness of incremental and batch concept analysis for reduced test suite update?
--------------------------------
INVALID BELOW
See Table 1. Test suite reduction, coverage and faults detected
1. What test case reduction can be achieved through concept analysis for user-session testing?
2. How does reducing the test suite affect replay time and oracle time?
3. What is the cost-effectiveness of incremental versus batch concept analysis for reduced test suite update?
4. Does concept analysis reduce the test suite while maintaining good coverage?
5. How does the reduced test suite fare against the original test suite in terms of fault detection capabilities?</t>
      </text>
    </comment>
    <comment authorId="0" ref="FC14">
      <text>
        <t xml:space="preserve">Since we only consider the number of faults detected by
the reduced suites and not the severity of the faults missed,
the conclusions of our experiment could be different if the results were weighted by fault severity. Manually seeded</t>
      </text>
    </comment>
    <comment authorId="0" ref="FD14">
      <text>
        <t xml:space="preserve">The size of our subject Web applications may not
show large differences in program code coverage and fault
detection when comparing the reduction heuristics. Because
we conducted our experiments on three applications,
generalizing our results to other Web applications may</t>
      </text>
    </comment>
    <comment authorId="0" ref="FK14">
      <text>
        <t xml:space="preserve">Laboratory experiment (software)</t>
      </text>
    </comment>
    <comment authorId="0" ref="GP14">
      <text>
        <t xml:space="preserve">7615+9401+999</t>
      </text>
    </comment>
    <comment authorId="0" ref="GQ14">
      <text>
        <t xml:space="preserve">see Table 1 --Mirshokraie Fri 07 Oct 2011 02:27:56 PM PDT</t>
      </text>
    </comment>
    <comment authorId="0" ref="GR14">
      <text>
        <t xml:space="preserve">CPM, MASPLAS --Mirshokraie Fri 07 Oct 2011 02:39:30 PM PDT</t>
      </text>
    </comment>
    <comment authorId="0" ref="GS14">
      <text>
        <t xml:space="preserve">Book --Mirshokraie Fri 07 Oct 2011 02:39:21 PM PDT</t>
      </text>
    </comment>
    <comment authorId="0" ref="B15">
      <text>
        <t xml:space="preserve">this paper has nice intro to web SW defects:
See the paragraph in p.1 starting with: "Society suffers many losses due to web application
failures." 
--vgarousi Sun Aug 21 2011 16:49:50 GMT-0600 (Mountain Daylight Time)</t>
      </text>
    </comment>
    <comment authorId="0" ref="F15">
      <text>
        <t xml:space="preserve">I'm agree with selected items.
 --Mirshokraie March-05-12 11:20:25 PM</t>
      </text>
    </comment>
    <comment authorId="0" ref="BY15">
      <text>
        <t xml:space="preserve">killing mutants is considered a test criteria 
--vgarousi Sun Aug 21 2011 16:36:34 GMT-0600 (Mountain Daylight Time)</t>
      </text>
    </comment>
    <comment authorId="0" ref="CL15">
      <text>
        <t xml:space="preserve">their mutation operators are at these levels
</t>
      </text>
    </comment>
    <comment authorId="0" ref="CN15">
      <text>
        <t xml:space="preserve">with mutations in Source code
</t>
      </text>
    </comment>
    <comment authorId="0" ref="DF15">
      <text>
        <t xml:space="preserve">mutation testing
 --vgarousi Sun Aug 21 2011 16:53:13 GMT-0600 (Mountain Daylight Time)</t>
      </text>
    </comment>
    <comment authorId="0" ref="DI15">
      <text>
        <t xml:space="preserve">a mutant is a test requirements (a test case is needed to kill it)
 --vgarousi Sun Aug 21 2011 16:53:58 GMT-0600 (Mountain Daylight Time)</t>
      </text>
    </comment>
    <comment authorId="0" ref="DN15">
      <text>
        <t xml:space="preserve">First, we used web-MuJava to create mutants. Second, we generated tests by hand and automated them. Third, we seeded faults into a subject program. 
 --vgarousi Sun Aug 21 2011 16:56:13 GMT-0600 (Mountain Daylight Time)</t>
      </text>
    </comment>
    <comment authorId="0" ref="DO15">
      <text>
        <t xml:space="preserve">they have a tool to do mutation testing
 --vgarousi Sun Aug 21 2011 16:54:35 GMT-0600 (Mountain Daylight Time)</t>
      </text>
    </comment>
    <comment authorId="0" ref="EI15">
      <text>
        <t xml:space="preserve">Table 2. Summary of mutants and tests</t>
      </text>
    </comment>
    <comment authorId="0" ref="FA15">
      <text>
        <t xml:space="preserve">hand seeded faults</t>
      </text>
    </comment>
    <comment authorId="0" ref="FB15">
      <text>
        <t xml:space="preserve">A construct validity threat is
the use of webMuJava, which was assumed to generate
mutants and mark them as being killed correctly</t>
      </text>
    </comment>
    <comment authorId="0" ref="FK15">
      <text>
        <t xml:space="preserve">Laboratory experiment (software)</t>
      </text>
    </comment>
    <comment authorId="0" ref="FV15">
      <text>
        <t xml:space="preserve">Faults in simple link transitions
Faults in form link transitions
Faults in component expression transitions
Faults in operational transitions
Faults in redirect transitions</t>
      </text>
    </comment>
    <comment authorId="0" ref="GL15">
      <text>
        <t xml:space="preserve"> based on muJava
 --vgarousi Sun Aug 21 2011 16:57:27 GMT-0600 (Mountain Daylight Time)</t>
      </text>
    </comment>
    <comment authorId="0" ref="GM15">
      <text>
        <t xml:space="preserve">they say: "When webMuJava is stable, we will release it
to the community as an experimental resource." 
but it is not available yet
--vgarousi Sun Aug 21 2011 16:59:33 GMT-0600 (Mountain Daylight Time)</t>
      </text>
    </comment>
    <comment authorId="0" ref="GO15">
      <text>
        <t xml:space="preserve">"Small Text Information System
(STIS)"</t>
      </text>
    </comment>
    <comment authorId="0" ref="F16">
      <text>
        <t xml:space="preserve">could you comment on AV=x.
V: Well, the paper title is: "Automated Cross-Browser Compatibility Testing"!
 --Mirshokraie Tue 06 Mar 2012 03:54:10 PM PST</t>
      </text>
    </comment>
    <comment authorId="0" ref="T16">
      <text>
        <t xml:space="preserve">Authors pose it as Functional testing...
"Look-and-feel versus Functionality"
"we believe that the issue should be addressed as a generalized problem of checking functional consistency of web application behavior across web browsers, rather than purely a ‘look-and-feel’ issue. 
 --vgarousi Tue Aug 02 2011 09:12:32 GMT-0600 (Mountain Daylight Time)</t>
      </text>
    </comment>
    <comment authorId="0" ref="BD16">
      <text>
        <t xml:space="preserve">presents tool CrossT
Crawljax is also used in this paper, but presented in other paper
 --vgarousi Sun Aug 21 2011 17:50:35 GMT-0600 (Mountain Daylight Time)</t>
      </text>
    </comment>
    <comment authorId="0" ref="BE16">
      <text>
        <t xml:space="preserve">called navigation model.
 --vgarousi Sun Aug 21 2011 17:50:04 GMT-0600 (Mountain Daylight Time)</t>
      </text>
    </comment>
    <comment authorId="0" ref="BN16">
      <text>
        <t xml:space="preserve">Uses crawler to extract WA model and uses this model to check cross-browser incompatibility</t>
      </text>
    </comment>
    <comment authorId="0" ref="BY16">
      <text>
        <t xml:space="preserve">based on state charts
 --vgarousi Sun Aug 21 2011 17:53:43 GMT-0600 (Mountain Daylight Time)</t>
      </text>
    </comment>
    <comment authorId="0" ref="CG16">
      <text>
        <t xml:space="preserve"> Cross-Browser Compatibility Testing
is client side
 --vgarousi Sun Aug 21 2011 17:54:11 GMT-0600 (Mountain Daylight Time)</t>
      </text>
    </comment>
    <comment authorId="0" ref="CK16">
      <text>
        <t xml:space="preserve">sort of
Examples in Table 1: (Examples of browser DOM diﬀerences) look unit-HTML level.
</t>
      </text>
    </comment>
    <comment authorId="0" ref="DL16">
      <text>
        <t xml:space="preserve">the two navigation models built are compared to find differences (defects).
 --vgarousi Sun Aug 21 2011 17:59:29 GMT-0600 (Mountain Daylight Time)</t>
      </text>
    </comment>
    <comment authorId="0" ref="DV16">
      <text>
        <t xml:space="preserve">Trace-level Mismatches</t>
      </text>
    </comment>
    <comment authorId="0" ref="EA16">
      <text>
        <t xml:space="preserve">crawling time (minutes)</t>
      </text>
    </comment>
    <comment authorId="0" ref="EH16">
      <text>
        <t xml:space="preserve">Avg. DOM Nodes</t>
      </text>
    </comment>
    <comment authorId="0" ref="EO16">
      <text>
        <t xml:space="preserve">"we manually inspect
each subject in the given browsers, to document the observ-
able trace-level and screen-level diﬀerences."
"XMLUnit’s diff method (further
referenced as XDiff) as a baseline to evaluate the performance of our approach for detecting cross-browser DOM-
level diﬀerences."
</t>
      </text>
    </comment>
    <comment authorId="0" ref="ES16">
      <text>
        <t xml:space="preserve">RQ1 What is the effectiveness of our approach in reveal-
ing observable trace-level and screen-level differences
in different browsers?
RQ2 How effective is our DOM-level comparison in mini-
mizing the number of false positives?
RQ3 What is the tool's performance and automation level?</t>
      </text>
    </comment>
    <comment authorId="0" ref="FA16">
      <text>
        <t xml:space="preserve">since we use external libraries that act as wrap-
pers around native browsers, our evaluation results could be
aected by implementation dierences.</t>
      </text>
    </comment>
    <comment authorId="0" ref="FJ16">
      <text>
        <t xml:space="preserve">of a large industrial enterprise Web 2.0 application.</t>
      </text>
    </comment>
    <comment authorId="0" ref="FK16">
      <text>
        <t xml:space="preserve">Laboratory experiment (software)</t>
      </text>
    </comment>
    <comment authorId="0" ref="GP16">
      <text>
        <t xml:space="preserve">214095+90742+58701=363,538
</t>
      </text>
    </comment>
    <comment authorId="0" ref="B17">
      <text>
        <t xml:space="preserve">this is a static-analysis based approach. </t>
      </text>
    </comment>
    <comment authorId="0" ref="BA17">
      <text>
        <t xml:space="preserve">integration testing</t>
      </text>
    </comment>
    <comment authorId="0" ref="BC17">
      <text>
        <t xml:space="preserve">an approach for automatically identifying parameter mismatches in web applications. The approach works in 3 steps: (i) identifying the set of interfaces accepted by each web component, (ii) determining the set of interface invocations performed by each web component,(iii) checking whether each interface invocation
matches an accepted interface of the invocation target.
--Mirshokraie October-24-11 12:54:40 AM</t>
      </text>
    </comment>
    <comment authorId="0" ref="BD17">
      <text>
        <t xml:space="preserve">prototype implementation. --Mirshokraie October-24-11 12:56:39 AM</t>
      </text>
    </comment>
    <comment authorId="0" ref="BW17">
      <text>
        <t xml:space="preserve">From the paper: we propose a static analysis based approach... --Mirshokraie October-24-11 12:57:21 AM</t>
      </text>
    </comment>
    <comment authorId="0" ref="CE17">
      <text>
        <t xml:space="preserve">the algorithm analyzes the classes in a web application and outputs a list of interface invocations that do not match any accepted interface</t>
      </text>
    </comment>
    <comment authorId="0" ref="CP17">
      <text>
        <t xml:space="preserve">To identify invocations, it visits each node of the component's inter-procedural control 
flow graph (ICFG), identifies all call
sites that invoke API methods used to make direct invocations, and analyzes the parameters of these calls to extract
the invocation URL. from the paper: It relies on a worklist-based data flow analysis and a modular analysis based on the use of method summaries. It analyzes each method or group of strongly connected
methods of the component in reverse topological order with
respect to the call graph.
 --Mirshokraie October-24-11 1:22:42 AM</t>
      </text>
    </comment>
    <comment authorId="0" ref="DL17">
      <text>
        <t xml:space="preserve">list of interface invocations that do not match any accepted interface. --Mirshokraie October-24-11 1:38:26 AM</t>
      </text>
    </comment>
    <comment authorId="0" ref="DV17">
      <text>
        <t xml:space="preserve">our approach discovered 133 parameter mismatches in the subject applications
Table 5: Analysis of invocation mismatches.</t>
      </text>
    </comment>
    <comment authorId="0" ref="EA17">
      <text>
        <t xml:space="preserve">Table 4</t>
      </text>
    </comment>
    <comment authorId="0" ref="EO17">
      <text>
        <t xml:space="preserve">the precision is evaluated by manual inspecting of the code.  
(ii) precision: manually inspecting the code that generated every
mismatch to determine whether the mismatch represents an actual error or is a false positive.</t>
      </text>
    </comment>
    <comment authorId="0" ref="EP17">
      <text>
        <t xml:space="preserve">evaluating (i) efficiency: the time necessary to complete the three steps of the approach, identifying cases in which it was not possible to run the analysis because of memory limitations or problems with libraries. </t>
      </text>
    </comment>
    <comment authorId="0" ref="ES17">
      <text>
        <t xml:space="preserve">RQ1: How efficient is our analysis when run on real web applications?
RQ2: What percentage of the reported parameter mis-matches represent actual errors in the web applications?</t>
      </text>
    </comment>
    <comment authorId="0" ref="FK17">
      <text>
        <t xml:space="preserve">Laboratory experiment (software)</t>
      </text>
    </comment>
    <comment authorId="0" ref="F18">
      <text>
        <t xml:space="preserve">1) is it client side or server side? the comparators works on HTML but the SUTs are written in JSP 
2) check jsp in cloumn DA
3) evaluation includes mutation and manual comparison as noted in comment of CI--aysubetincan Sat Feb 11 2012 20:49:07 GMT+0200 (Turkey Standard Time)</t>
      </text>
    </comment>
    <comment authorId="0" ref="G18">
      <text>
        <t xml:space="preserve">it seems that it is server side. --Mirshokraie March-18-12 10:27:54 PM</t>
      </text>
    </comment>
    <comment authorId="0" ref="BD18">
      <text>
        <t xml:space="preserve">a suit of automated oracle comparator. It's been integrated in a previously developed tool by the authors which helps testers to evaluate test suit results in detail (see ref 22).   --Mirshokraie October-09-11 2:57:36 AM</t>
      </text>
    </comment>
    <comment authorId="0" ref="BH18">
      <text>
        <t xml:space="preserve">Oracle comparator</t>
      </text>
    </comment>
    <comment authorId="0" ref="BX18">
      <text>
        <t xml:space="preserve">comparing actual and expected outcome from the execution of the web app under test. --Mirshokraie October-09-11 3:14:55 AM</t>
      </text>
    </comment>
    <comment authorId="0" ref="CK18">
      <text>
        <t xml:space="preserve">testing of each HTML document generated by an HTML request. --Mirshokraie October-09-11 3:30:15 AM</t>
      </text>
    </comment>
    <comment authorId="0" ref="CU18">
      <text>
        <t xml:space="preserve">They assume that test cases have been derived before. They use 3 oracles to test HTML document responses. Oracles are document-based, content-based, and structure-based.</t>
      </text>
    </comment>
    <comment authorId="0" ref="CX18">
      <text>
        <t xml:space="preserve">of HTML docs</t>
      </text>
    </comment>
    <comment authorId="0" ref="DW18">
      <text>
        <t xml:space="preserve">1. How many failures does each oracle correctly identify?</t>
      </text>
    </comment>
    <comment authorId="0" ref="EA18">
      <text>
        <t xml:space="preserve">execution time</t>
      </text>
    </comment>
    <comment authorId="0" ref="EC18">
      <text>
        <t xml:space="preserve">What are the costs of each oracle comparator in terms of its requirements for time and space?</t>
      </text>
    </comment>
    <comment authorId="0" ref="EO18">
      <text>
        <t xml:space="preserve">(i)finding false positive and false negative by manually seeding faults, (ii) examining the types of faults each oracle reveal, (iii) the costs of oracle comparator in terms of time and space.
The authors also mentioned that they manually determined the expected pass/no pass results for the ideal oracle. --Mirshokraie March-18-12 10:19:12 PM</t>
      </text>
    </comment>
    <comment authorId="0" ref="EP18">
      <text>
        <t xml:space="preserve">(iii) the costs of oracle comparator in terms of time and space.
</t>
      </text>
    </comment>
    <comment authorId="0" ref="ES18">
      <text>
        <t xml:space="preserve">1. How many failures does each oracle correctly identify?
2. How many failures does it miss (false negatives)?
3. How many responses are incorrectly identiﬁed as failures (false positives)?
4. What types of faults does each oracle reveal?
5. What are the costs of each oracle comparator in terms of its requirements for time and space?</t>
      </text>
    </comment>
    <comment authorId="0" ref="FA18">
      <text>
        <t xml:space="preserve">hand seeded faults</t>
      </text>
    </comment>
    <comment authorId="0" ref="FK18">
      <text>
        <t xml:space="preserve">Laboratory experiment (software)</t>
      </text>
    </comment>
    <comment authorId="0" ref="FV18">
      <text>
        <t xml:space="preserve">data store (faults that exercise application code interacting with the data store)
logic (application code logic errors in the data and control ﬂow)
form (e.g., modiﬁcations to name-value pairs and form actions),
appearance (faults that change the way the page appears)</t>
      </text>
    </comment>
    <comment authorId="0" ref="FW18">
      <text>
        <t xml:space="preserve">From the paper: We developed a suite of 22 HTML-based automated oracle comparators for testing web applications. --Mirshokraie October-09-11 4:03:40 AM</t>
      </text>
    </comment>
    <comment authorId="0" ref="GP18">
      <text>
        <t xml:space="preserve">999+7791+8947+49513</t>
      </text>
    </comment>
    <comment authorId="0" ref="GS18">
      <text>
        <t xml:space="preserve">Book and DSpace --Mirshokraie October-09-11 4:11:13 AM</t>
      </text>
    </comment>
    <comment authorId="0" ref="AV19">
      <text>
        <t xml:space="preserve">We have designed, implemented,
and evaluated a set of automated replay techniques and
oracle comparators for user-session-based testing of web applications.</t>
      </text>
    </comment>
    <comment authorId="0" ref="BC19">
      <text>
        <t xml:space="preserve">A set of automated strategies for handling persistent state
during replay of web application user sessions</t>
      </text>
    </comment>
    <comment authorId="0" ref="BD19">
      <text>
        <t xml:space="preserve">they presented a framework for automation but it is firstly proposed in their previous paper see ref[25]</t>
      </text>
    </comment>
    <comment authorId="0" ref="BF19">
      <text>
        <t xml:space="preserve">Replay Time Per URL
Replay Time Per Session
Space for Replay</t>
      </text>
    </comment>
    <comment authorId="0" ref="BG19">
      <text>
        <t xml:space="preserve">Our
goal was to develop an integrated framework for testing web-based
applications, where the testing process is automated while maintaining
the desired fault detection capability, test coverage, costeffectiveness,
and scalability.
see figure1</t>
      </text>
    </comment>
    <comment authorId="0" ref="BV19">
      <text>
        <t xml:space="preserve">user session based record replay testing</t>
      </text>
    </comment>
    <comment authorId="0" ref="BY19">
      <text>
        <t xml:space="preserve">Test Suite Generation and Reduction</t>
      </text>
    </comment>
    <comment authorId="0" ref="CA19">
      <text>
        <t xml:space="preserve">We have designed, implemented,
and evaluated a set of automated replay techniques and
oracle comparators for user-session-based testing of web applications</t>
      </text>
    </comment>
    <comment authorId="0" ref="CB19">
      <text>
        <t xml:space="preserve">framework runs the test suites</t>
      </text>
    </comment>
    <comment authorId="0" ref="CC19">
      <text>
        <t xml:space="preserve">A set of plug-n-play, automated oracle comparators for usersession-
based testing of web applications</t>
      </text>
    </comment>
    <comment authorId="0" ref="CH19">
      <text>
        <t xml:space="preserve">recording server side user session info (requests and replies) and generating test suites according to these session info</t>
      </text>
    </comment>
    <comment authorId="0" ref="CM19">
      <text>
        <t xml:space="preserve">system level but through session logs</t>
      </text>
    </comment>
    <comment authorId="0" ref="CR19">
      <text>
        <t xml:space="preserve">server side session logs</t>
      </text>
    </comment>
    <comment authorId="0" ref="DD19">
      <text>
        <t xml:space="preserve">capture-replay that helps the developer localize faults
that the user encounters</t>
      </text>
    </comment>
    <comment authorId="0" ref="DJ19">
      <text>
        <t xml:space="preserve">describes the design, implementation, and evaluation
of four oracle comparators</t>
      </text>
    </comment>
    <comment authorId="0" ref="DL19">
      <text>
        <t xml:space="preserve">generates replayable sessions</t>
      </text>
    </comment>
    <comment authorId="0" ref="DS19">
      <text>
        <t xml:space="preserve">statement coverage</t>
      </text>
    </comment>
    <comment authorId="0" ref="EA19">
      <text>
        <t xml:space="preserve">replay time</t>
      </text>
    </comment>
    <comment authorId="0" ref="EC19">
      <text>
        <t xml:space="preserve">space for replay</t>
      </text>
    </comment>
    <comment authorId="0" ref="ES19">
      <text>
        <t xml:space="preserve">Question 1. How does the choice of replay technique affect the
test suite’s program coverage?
Q2-How do the replay technique and oracle comparator affect the set of reported faults?</t>
      </text>
    </comment>
    <comment authorId="0" ref="FA19">
      <text>
        <t xml:space="preserve">-limited nature
of the original suite of user sessions.
-subject applications
may not be complex enough to show large differences in program
coverage and fault detection when comparing the replay and oracle techniques</t>
      </text>
    </comment>
    <comment authorId="0" ref="FB19">
      <text>
        <t xml:space="preserve">not considering the severity of the faults or their potential
impact on the replay techniques and oracle comparators,</t>
      </text>
    </comment>
    <comment authorId="0" ref="FD19">
      <text>
        <t xml:space="preserve">-some of the seeded faults may not be accurate
representations of natural faults.
-conducting the experiments on two applications may not be sufficient for generalization</t>
      </text>
    </comment>
    <comment authorId="0" ref="FJ19">
      <text>
        <t xml:space="preserve">CPM is developed and deployed at Duke University</t>
      </text>
    </comment>
    <comment authorId="0" ref="FK19">
      <text>
        <t xml:space="preserve">Laboratory experiment</t>
      </text>
    </comment>
    <comment authorId="0" ref="FV19">
      <text>
        <t xml:space="preserve">data store faults, logic faults,  form faults, appearance faults, link faults (modified classifications
identified in Elbaum et al. [10],)
[10] S. Elbaum, G. Rothermel, S. Karre, and M. F. II. Leveraging user session data to support web application testing. IEEE Trans on Soft Eng, May 2005.</t>
      </text>
    </comment>
    <comment authorId="0" ref="GO19">
      <text>
        <t xml:space="preserve">Bookstore [11] (Classes:11, Methods:385,
Conditionals: 1808, NCLOC:7791, Seeded Faults: 39) and a course
project manager (CPM) (Classes: 75, Methods: 172, Conditionals:
1274, NCLOC:9300, Seeded Faults: 86)</t>
      </text>
    </comment>
    <comment authorId="0" ref="F20">
      <text>
        <t xml:space="preserve">1) uncheck column BP:they say whitebox but there is no code analysis
"Step 2 constructs the graph structure of the modified web
application as a set of nodes (pages) and edges (links). This
phase is essentially a white box analysis phase "
2) looks like a manual comparison as evaluation
3) web server tier tech: unknown. which tech is used in SUT is not given
 --aysubetincan Mon Feb 13 2012 00:37:49 GMT+0200 (Turkey Standard Time)</t>
      </text>
    </comment>
    <comment authorId="0" ref="G20">
      <text>
        <t xml:space="preserve">you are right-no code analysis. step 1 uses relational db implementation and step 2 uses crawling/spidering. So what is the technique then? --Mirshokraie March-18-12 11:12:07 PM</t>
      </text>
    </comment>
    <comment authorId="0" ref="BC20">
      <text>
        <t xml:space="preserve">an approach to web application regression testing, based on repair of user session data. --Mirshokraie October-23-11 1:52:42 AM</t>
      </text>
    </comment>
    <comment authorId="0" ref="BD20">
      <text>
        <t xml:space="preserve">a prototype of the regression testing tool has been implemented. --Mirshokraie October-23-11 1:54:03 AM</t>
      </text>
    </comment>
    <comment authorId="0" ref="CE20">
      <text>
        <t xml:space="preserve">Repairing old session data so that they can be reused when testing changes made to the web application. --Mirshokraie October-23-11 1:56:11 AM</t>
      </text>
    </comment>
    <comment authorId="0" ref="CN20">
      <text>
        <t xml:space="preserve">white box examination of the structure of the changed web application to detect changes and a set of techniques to map
these detected changes onto repair actions. --Mirshokraie October-23-11 1:58:58 AM</t>
      </text>
    </comment>
    <comment authorId="0" ref="DL20">
      <text>
        <t xml:space="preserve">repaired set of session data </t>
      </text>
    </comment>
    <comment authorId="0" ref="EA20">
      <text>
        <t xml:space="preserve">"performance measured in minutes"</t>
      </text>
    </comment>
    <comment authorId="0" ref="EC20">
      <text>
        <t xml:space="preserve">(ii) scalability study (done by a controlled experiment): performance of the algorithm determined by the size of the session database.
</t>
      </text>
    </comment>
    <comment authorId="0" ref="EH20">
      <text>
        <t xml:space="preserve">Note: No update of session data was performed between each release. The aim was that the original session data would become increasingly out of date, presenting a monotonically increasing level of challenge to the repair algorithm. </t>
      </text>
    </comment>
    <comment authorId="0" ref="ES20">
      <text>
        <t xml:space="preserve">1. RQ1: How effective is the approach?
2. RQ2: Is the approach sufﬁciently computationally cheap to be applicable?</t>
      </text>
    </comment>
    <comment authorId="0" ref="FK20">
      <text>
        <t xml:space="preserve">Laboratory experiment (software)</t>
      </text>
    </comment>
    <comment authorId="0" ref="FL20">
      <text>
        <t xml:space="preserve">A group of 14 participants</t>
      </text>
    </comment>
    <comment authorId="0" ref="GK20">
      <text>
        <t xml:space="preserve">step 1 of the repair algorithm is achieved using a standard relational database
implementation with session data are loaded from an XML session log. Step 2 is implemented using a version of the web-spidering tool, JSpider, tailored to handled forms and dynamic pages in the manner. Steps 3 and 4 from implementation components constructed specifically for the regression session
repair tool. --Mirshokraie October-23-11 2:25:20 AM</t>
      </text>
    </comment>
    <comment authorId="0" ref="GO20">
      <text>
        <t xml:space="preserve">10 version of bookstore application produced through a series of changes according to a set of user requests for additional and changed functionality. --Mirshokraie October-23-11 2:34:19 AM</t>
      </text>
    </comment>
    <comment authorId="0" ref="F21">
      <text>
        <t xml:space="preserve">VG: Type of Paper-Research Facet: should be "3-Evaluation Research"??
SD:Done
VG: Type of Paper-Contribution Facet: I cannot see any trace of "Process". The notes you have put on AU does not convince me
SD:Done (Removed)
VG: Extracting data for "Empirical evidence"
SD:I also extracted threats to validity
VG: DE=x. i added it
SD:Ok
</t>
      </text>
    </comment>
    <comment authorId="0" ref="S21">
      <text>
        <t xml:space="preserve">introduced a set of search based testing algorithms</t>
      </text>
    </comment>
    <comment authorId="0" ref="BC21">
      <text>
        <t xml:space="preserve">"This paper introduces three related algorithms"</t>
      </text>
    </comment>
    <comment authorId="0" ref="BD21">
      <text>
        <t xml:space="preserve">SWAT</t>
      </text>
    </comment>
    <comment authorId="0" ref="BW21">
      <text>
        <t xml:space="preserve">The algorithm starts with a static analysis phase that collects static information to aid the subsequent search based phase.</t>
      </text>
    </comment>
    <comment authorId="0" ref="BX21">
      <text>
        <t xml:space="preserve">incorporates constant seeding and Dynamically Mined Values</t>
      </text>
    </comment>
    <comment authorId="0" ref="BY21">
      <text>
        <t xml:space="preserve">Their approach aims to produce a test suite that maximizes
branch coverage of the application under test.</t>
      </text>
    </comment>
    <comment authorId="0" ref="CA21">
      <text>
        <t xml:space="preserve">They both used automated testing tool Fitnesse and implemented an automation tool called SWAT</t>
      </text>
    </comment>
    <comment authorId="0" ref="CO21">
      <text>
        <t xml:space="preserve">test cases used</t>
      </text>
    </comment>
    <comment authorId="0" ref="CX21">
      <text>
        <t xml:space="preserve">In order to determine the ‘input interface’ automatically,
they perform static analysis on the source code to
determine the required inputs</t>
      </text>
    </comment>
    <comment authorId="0" ref="CY21">
      <text>
        <t xml:space="preserve">types of variables are checked
dynamically at run-time using built-in PHP functions and then
directed to the appropriate fitness function</t>
      </text>
    </comment>
    <comment authorId="0" ref="DK21">
      <text>
        <t xml:space="preserve">They implemented a tool called search based Web Application
Tester’ (SWAT)</t>
      </text>
    </comment>
    <comment authorId="0" ref="DS21">
      <text>
        <t xml:space="preserve">compare branch coverage for each of the algorithms</t>
      </text>
    </comment>
    <comment authorId="0" ref="DV21">
      <text>
        <t xml:space="preserve">See "E. Fault Finding Ability"</t>
      </text>
    </comment>
    <comment authorId="0" ref="EA21">
      <text>
        <t xml:space="preserve">Elapsed Time abd CPU Time. See Table II
SCALABILITY: 
--------------------
FAQForge is processed the fastest (1 min) while PHPBB2 is the slowest with an average of approximately 97 minutes per run for DMV. Of course, our tool is only a research prototype. However, even this worst case can be a accommodated within a daily build cycle, with overnight automated test data generation.</t>
      </text>
    </comment>
    <comment authorId="0" ref="EN21">
      <text>
        <t xml:space="preserve">They also propose a mutation algorithm</t>
      </text>
    </comment>
    <comment authorId="0" ref="EP21">
      <text>
        <t xml:space="preserve">They also evaluate efficiency
of their approach using elapsed time and CPU time</t>
      </text>
    </comment>
    <comment authorId="0" ref="ES21">
      <text>
        <t xml:space="preserve">RQ1: How does each of our enhancements affect branch coverage?
RQ2: How does each of our enhancements affect efﬁciency of the approach?
RQ3: How does each of our enhancements affect fault ﬁnding ability?
</t>
      </text>
    </comment>
    <comment authorId="0" ref="FD21">
      <text>
        <t xml:space="preserve">applications were
selected to provide compatibility with previous research</t>
      </text>
    </comment>
    <comment authorId="0" ref="GC21">
      <text>
        <t xml:space="preserve">They say; "many aspects
of our approach may also apply to other web application
languages."</t>
      </text>
    </comment>
    <comment authorId="0" ref="GP21">
      <text>
        <t xml:space="preserve">FAQForge 1.3.2 : 834 lines 19 files, 
Schoolmate 1.5.4 : 3072 lines 63 files, 
Webchess 0.9.0 : 2701 lines 24 files, 
PHPSysInfo 2.5.3 : 9533 lines 73 files, Timeclock 1.0.3 : 14980 lines 62 files,  lines
PHPBB2 2.0.21 : 22280 lines 78 files</t>
      </text>
    </comment>
    <comment authorId="0" ref="F22">
      <text>
        <t xml:space="preserve">there is a tool, but Tool column is not checked. 
V: Thanks. Done
also BP column:"static analysis is used
to automatically create a coverage database". is this because they are not directly test related?
V: Thanks. added
 --aysubetincan Thu Feb 16 2012 17:59:30 GMT+0200 (Turkey Standard Time)</t>
      </text>
    </comment>
    <comment authorId="0" ref="BD22">
      <text>
        <t xml:space="preserve">DWASTIC
--vgarousi Sun Feb 26 2012 11:56:08 GMT-0700 (Mountain Standard Time)</t>
      </text>
    </comment>
    <comment authorId="0" ref="BF22">
      <text>
        <t xml:space="preserve">the coverage criteria in this paper are based on page access, use of server variables, and interactions with the
database 
db-specific cov critiera
A. Page Access Coverage
B. SQL Statement Coverage
C. Server Environment Variable Coverage</t>
      </text>
    </comment>
    <comment authorId="0" ref="BY22">
      <text>
        <t xml:space="preserve">Coverage criteria
 --vgarousi Sun Aug 21 2011 18:48:45 GMT-0600 (Mountain Daylight Time)</t>
      </text>
    </comment>
    <comment authorId="0" ref="CH22">
      <text>
        <t xml:space="preserve">since the coverage criteria in this paper are based on page access, use of server variables, and interactions with the
database
 --vgarousi Sun Aug 21 2011 18:49:07 GMT-0600 (Mountain Daylight Time)</t>
      </text>
    </comment>
    <comment authorId="0" ref="CK22">
      <text>
        <t xml:space="preserve">since the coverage criteria are based on page access
 --vgarousi Sun Aug 21 2011 18:50:09 GMT-0600 (Mountain Daylight Time)</t>
      </text>
    </comment>
    <comment authorId="0" ref="CN22">
      <text>
        <t xml:space="preserve">coverage of PHP and SQL code
 --vgarousi Mon Aug 22 2011 10:11:14 GMT-0600 (Mountain Daylight Time)</t>
      </text>
    </comment>
    <comment authorId="0" ref="CU22">
      <text>
        <t xml:space="preserve">Coverage of Server Environment Variable 
 --vgarousi Mon Aug 22 2011 10:11:39 GMT-0600 (Mountain Daylight Time)</t>
      </text>
    </comment>
    <comment authorId="0" ref="CX22">
      <text>
        <t xml:space="preserve">"static analysis is used
to automatically create a coverage database"
 --vgarousi Sun Feb 26 2012 11:57:43 GMT-0700 (Mountain Standard Time)</t>
      </text>
    </comment>
    <comment authorId="0" ref="DI22">
      <text>
        <t xml:space="preserve">coverage is a type of Test requirements, test cases needed to satisfy coverage
 --vgarousi Mon Aug 22 2011 10:13:09 GMT-0600 (Mountain Daylight Time)</t>
      </text>
    </comment>
    <comment authorId="0" ref="DU22">
      <text>
        <t xml:space="preserve">db-specific cov critiera
A. Page Access Coverage
B. SQL Statement Coverage
C. Server Environment Variable Coverage</t>
      </text>
    </comment>
    <comment authorId="0" ref="GL22">
      <text>
        <t xml:space="preserve">Dynamic Web ApplicationS Testing Instrumentation Coverage
 --vgarousi Mon Aug 22 2011 10:15:49 GMT-0600 (Mountain Daylight Time)</t>
      </text>
    </comment>
    <comment authorId="0" ref="GP22">
      <text>
        <t xml:space="preserve">
 --vgarousi Mon Aug 22 2011 10:14:51 GMT-0600 (Mountain Daylight Time)</t>
      </text>
    </comment>
    <comment authorId="0" ref="GS22">
      <text>
        <t xml:space="preserve">PhpBB 2.0 and Moodle
 --vgarousi Sun Aug 21 2011 18:47:55 GMT-0600 (Mountain Daylight Time)</t>
      </text>
    </comment>
    <comment authorId="0" ref="F23">
      <text>
        <t xml:space="preserve">-I think it could be AK.
-It is mainly a test evaluation (oracle), could you please comment on AV=x?
-Please provide comments on CC=x and BM=x
 --Mirshokraie March-07-12 2:36:09 AM</t>
      </text>
    </comment>
    <comment authorId="0" ref="CU23">
      <text>
        <t xml:space="preserve">test results</t>
      </text>
    </comment>
    <comment authorId="0" ref="DX23">
      <text>
        <t xml:space="preserve">precision, and recall (Table 3)</t>
      </text>
    </comment>
    <comment authorId="0" ref="FK23">
      <text>
        <t xml:space="preserve">Laboratory experiment (software)</t>
      </text>
    </comment>
    <comment authorId="0" ref="GP23">
      <text>
        <t xml:space="preserve">155K+185K+35K</t>
      </text>
    </comment>
    <comment authorId="0" ref="F24">
      <text>
        <t xml:space="preserve">onlinecarreservation system:SUT as motivating example
2) unit? test is a sequence of transitions. i cannot decide whether it is unit testing like Shabnam
 --aysubetincan Thu Feb 16 2012 19:18:33 GMT+0200 (Turkey Standard Time)</t>
      </text>
    </comment>
    <comment authorId="0" ref="G24">
      <text>
        <t xml:space="preserve">I don't think it's unit-testing. _Ali
Do you think it is unit testing? because I am not sure whether it is or not. --Mirshokraie Fri 16 Mar 2012 01:57:23 PM PDT</t>
      </text>
    </comment>
    <comment authorId="0" ref="Q24">
      <text>
        <t xml:space="preserve">There are a number of papers on testing "web database applications"
We need to discuss how we will deal with them
I personally beleive database testing in this case is something functional
 --vgarousi Tue Aug 02 2011 10:42:42 GMT-0600 (Mountain Daylight Time)</t>
      </text>
    </comment>
    <comment authorId="0" ref="T24">
      <text>
        <t xml:space="preserve">I personally beleive database testing in this case is something functional
 --vgarousi Tue Aug 02 2011 10:44:07 GMT-0600 (Mountain Daylight Time)</t>
      </text>
    </comment>
    <comment authorId="0" ref="BD24">
      <text>
        <t xml:space="preserve">AutoDBT --Mirshokraie October-13-11 2:01:58 AM</t>
      </text>
    </comment>
    <comment authorId="0" ref="BE24">
      <text>
        <t xml:space="preserve">From the paper: We show that we can model every kind of database
transaction and examine several case studies...
 --Mirshokraie October-13-11 2:04:44 AM</t>
      </text>
    </comment>
    <comment authorId="0" ref="BN24">
      <text>
        <t xml:space="preserve">A human modeler creates the DEFSM and the technique uses this model as input</t>
      </text>
    </comment>
    <comment authorId="0" ref="BV24">
      <text>
        <t xml:space="preserve">This paper presents a framework, AutoDBT, for the functional (black-box) testing of a web database application. --Mirshokraie October-13-11 2:13:15 AM</t>
      </text>
    </comment>
    <comment authorId="0" ref="BY24">
      <text>
        <t xml:space="preserve">AutoDBT generates test cases. It takes as input a model of the application and a set of testing criteria
--Mirshokraie October-13-11 2:16:28 AM</t>
      </text>
    </comment>
    <comment authorId="0" ref="CC24">
      <text>
        <t xml:space="preserve">AutoDBT generates partial oracles </t>
      </text>
    </comment>
    <comment authorId="0" ref="CP24">
      <text>
        <t xml:space="preserve">Test case is generated from a test sequence. Based on the state transition diagram, for any given test coverage criteria, they automatically generate a test sequence.
--Mirshokraie October-13-11 2:55:00 AM</t>
      </text>
    </comment>
    <comment authorId="0" ref="CU24">
      <text>
        <t xml:space="preserve">test case is generated from a test sequence. A guard is a query to determine whether a test sequence can be
instantiated to produce a test case --Mirshokraie October-13-11 2:48:10 AM</t>
      </text>
    </comment>
    <comment authorId="0" ref="DE24">
      <text>
        <t xml:space="preserve">Database Extended Finite State Machine (DEFSM)
 --vgarousi Mon Jan 23 2012 10:22:05 GMT-0700 (Mountain Standard Time)</t>
      </text>
    </comment>
    <comment authorId="0" ref="DI24">
      <text>
        <t xml:space="preserve">the requirements should be met through guard checking and evaluating--Mirshokraie October-13-11 3:03:20 AM</t>
      </text>
    </comment>
    <comment authorId="0" ref="EA24">
      <text>
        <t xml:space="preserve">Fig 10</t>
      </text>
    </comment>
    <comment authorId="0" ref="EB24">
      <text>
        <t xml:space="preserve">(1) test sequence length, (2) number of sequences, and (3) size of the database</t>
      </text>
    </comment>
    <comment authorId="0" ref="EP24">
      <text>
        <t xml:space="preserve">Measuring the cost of evaluating a guard as well as conducting a case study </t>
      </text>
    </comment>
    <comment authorId="0" ref="FA24">
      <text>
        <t xml:space="preserve">NONE</t>
      </text>
    </comment>
    <comment authorId="0" ref="FK24">
      <text>
        <t xml:space="preserve">Laboratory experiment (software)</t>
      </text>
    </comment>
    <comment authorId="0" ref="GP24">
      <text>
        <t xml:space="preserve">WSU’s IT student computing services, WSU’s eInfoCenter for current students, WSU’s ResNet self-certification web page, Mapquest --Mirshokraie October-13-11 3:39:42 AM</t>
      </text>
    </comment>
    <comment authorId="0" ref="GT24">
      <text>
        <t xml:space="preserve">not sure whether they are open source or commercial --Mirshokraie October-13-11 3:43:54 AM</t>
      </text>
    </comment>
    <comment authorId="0" ref="F25">
      <text>
        <t xml:space="preserve">I wonder why we have "Process" ticked. I see they use the wording a few times, but it is not really a new test process, just a technique
 --vgarousi Sun Feb 19 2012 19:13:01 GMT-0700 (Mountain Standard Time)</t>
      </text>
    </comment>
    <comment authorId="0" ref="G25">
      <text>
        <t xml:space="preserve">they want to bypass the client and directly access the server. client side should do section2 checks but if someone bypass it invalid input can go to server.
see also page10 2nd column 1st sentence --aysubetincan Fri Mar 23 2012 13:10:10 GMT+0200 (GTB Standard Time)</t>
      </text>
    </comment>
    <comment authorId="0" ref="T25">
      <text>
        <t xml:space="preserve">They say "Input validation testing checks user inputs to ensure that they conform to the program’s requirements"
This has a partial aspect of functional testing 
--vgarousi Tue Aug 02 2011 10:46:38 GMT-0600 (Mountain Daylight Time)</t>
      </text>
    </comment>
    <comment authorId="0" ref="CN25">
      <text>
        <t xml:space="preserve">analyze client code to test server code. --aysubetincan Sun Nov 13 2011 18:44:25 GMT+0200 (Turkey Standard Time)</t>
      </text>
    </comment>
    <comment authorId="0" ref="DV25">
      <text>
        <t xml:space="preserve">detecting real faults (see Section 5)
</t>
      </text>
    </comment>
    <comment authorId="0" ref="F26">
      <text>
        <t xml:space="preserve">1) fault seeding is mutation testing
2) check jsp column DA and HTML
3) "GUI not sure?" it is true so be sure.
3) sessions are used as test cases, can we count them as test input?
4) not sure for dynamic code analysis. it uses dependence graph not the code--aysubetincan Thu Feb 16 2012 19:42:26 GMT+0200 (Turkey Standard Time)</t>
      </text>
    </comment>
    <comment authorId="0" ref="G26">
      <text>
        <t xml:space="preserve">Is it model-based? They mentioned that they either use use-case models or they reverse engineer source code to construct UML models. WEBMTA, which is used for constructing the graph is also generating models. --Mirshokraie March-20-12 1:12:59 PM</t>
      </text>
    </comment>
    <comment authorId="0" ref="Z26">
      <text>
        <t xml:space="preserve">see the PDF link
 --vgarousi Tue Aug 02 2011 10:48:30 GMT-0600 (Mountain Daylight Time)</t>
      </text>
    </comment>
    <comment authorId="0" ref="BC26">
      <text>
        <t xml:space="preserve">a methodology to create an adequate test suite from the collected user sessions--user session partitioning. --Mirshokraie Thu 13 Oct 2011 11:40:34 AM PDT</t>
      </text>
    </comment>
    <comment authorId="0" ref="BY26">
      <text>
        <t xml:space="preserve">(i) every service provided by the application should be executed by at least one test case, (ii) every fault-sensitive path need to be exercised by at least one test case. (i) and (ii) =&gt; generating adequate test suits. --Mirshokraie Thu 13 Oct 2011 12:41:15 PM PDT</t>
      </text>
    </comment>
    <comment authorId="0" ref="DI26">
      <text>
        <t xml:space="preserve">Test case should cover service profile and fault intensive paths. --Mirshokraie Thu 13 Oct 2011 02:17:44 PM PDT</t>
      </text>
    </comment>
    <comment authorId="0" ref="DV26">
      <text>
        <t xml:space="preserve">(ii) Conducting a study on an industrial application with natural faults. 
</t>
      </text>
    </comment>
    <comment authorId="0" ref="EM26">
      <text>
        <t xml:space="preserve">compares three test case reduction techniques: Harrold et al. [10], Sampath et al. [15], and the current work
Sreq, applies the test case reduction technique proposed by Harrold et al.  [10] where we used URL coverage as the requirement
Scon, is based on the concept analysis proposed by Sampath et al.  [15]
the third strategy, is based on our service oriented approach
[10]M. J. Harrold, R. Gupta, and M. L. Soffa. “A methodology for controlling the size of a test suite,” 
ACM Transactions on Software Engineering and Methodologies, 2(3), Jul. 1993, pp. 270–285.
[15]S. Sampath, S. Sprenkle, E. Gibson, L. Pollock, and A. Soouter Greenwald "Applying Concept Analysis to User-session-based Testing of Web Applications,” IEEE Transactions on Software Engineering,  33(10), October 2007, pp. 643 - 658.</t>
      </text>
    </comment>
    <comment authorId="0" ref="FA26">
      <text>
        <t xml:space="preserve">NONE</t>
      </text>
    </comment>
    <comment authorId="0" ref="FK26">
      <text>
        <t xml:space="preserve">Laboratory experiment (software)</t>
      </text>
    </comment>
    <comment authorId="0" ref="FV26">
      <text>
        <t xml:space="preserve">see page 6
Multi-tier architecture faults, GUI faults, Hyperlinked structure faults, Mechanisms for user authentication faults</t>
      </text>
    </comment>
    <comment authorId="0" ref="F27">
      <text>
        <t xml:space="preserve">-Why test automation(AV=x)?
-Why BF=x? maybe only BJ=x
-Why BP=x? I think BV and other=x (other:test suit reduction and concept anaylsis perhaps?)
 --Mirshokraie March-07-12 10:46:55 PM</t>
      </text>
    </comment>
    <comment authorId="0" ref="G27">
      <text>
        <t xml:space="preserve">-(AV=x)using different tools, but in the end test is automated
-BF=x? coverage analysis requires source code and whitebox testing--figure2.
-I agree: Why BP=x? I think BV and other=x (other:test suit reduction and concept anaylsis perhaps?)
 --aysubetincan Fri Mar 23 2012 15:45:46 GMT+0200 (GTB Standard Time)</t>
      </text>
    </comment>
    <comment authorId="0" ref="BC27">
      <text>
        <t xml:space="preserve">Figure 1. General Framework for Testing Web-based Applications</t>
      </text>
    </comment>
    <comment authorId="0" ref="BD27">
      <text>
        <t xml:space="preserve">a toolset in Figure 2. Current Prototype Framework</t>
      </text>
    </comment>
    <comment authorId="0" ref="BE27">
      <text>
        <t xml:space="preserve">a Concept Analysis model called Lattice</t>
      </text>
    </comment>
    <comment authorId="0" ref="BG27">
      <text>
        <t xml:space="preserve">"process" appears 19 times</t>
      </text>
    </comment>
    <comment authorId="0" ref="BN27">
      <text>
        <t xml:space="preserve">Their concept analysis tool creates a concept analysis model. This model then used in test suite reduction process</t>
      </text>
    </comment>
    <comment authorId="0" ref="DF27">
      <text>
        <t xml:space="preserve">test suit reduction and concept anaylsis  --aysubetincan Fri Mar 23 2012 15:48:11 GMT+0200 (GTB Standard Time)</t>
      </text>
    </comment>
    <comment authorId="0" ref="GL27">
      <text>
        <t xml:space="preserve">a toolset in Figure 2. Current Prototype Framework</t>
      </text>
    </comment>
    <comment authorId="0" ref="F28">
      <text>
        <t xml:space="preserve">Please provide comments where "other" marked.
I'm agree with selected items. --Mirshokraie March-08-12 12:01:49 AM</t>
      </text>
    </comment>
    <comment authorId="0" ref="T28">
      <text>
        <t xml:space="preserve">paper has tons of acronyms and does not seem to have much novelty
 --vgarousi Tue Aug 02 2011 10:52:09 GMT-0600 (Mountain Daylight Time)</t>
      </text>
    </comment>
    <comment authorId="0" ref="X28">
      <text>
        <t xml:space="preserve">the evaluation part is quite weak
--vgarousi Tue Aug 02 2011 10:53:02 GMT-0600 (Mountain Daylight Time)</t>
      </text>
    </comment>
    <comment authorId="0" ref="BE28">
      <text>
        <t xml:space="preserve">architecture</t>
      </text>
    </comment>
    <comment authorId="0" ref="BN28">
      <text>
        <t xml:space="preserve">SDAS extracts information, such as the control flow, from source documents and
sends them to the TMS</t>
      </text>
    </comment>
    <comment authorId="0" ref="F29">
      <text>
        <t xml:space="preserve">Is it all static? what about dynamic slicing which uses execution traces?
 --Mirshokraie March-08-12 2:24:17 AM</t>
      </text>
    </comment>
    <comment authorId="0" ref="BC29">
      <text>
        <t xml:space="preserve">a new test enabler technique </t>
      </text>
    </comment>
    <comment authorId="0" ref="GP29">
      <text>
        <t xml:space="preserve">100+40+69+38+10</t>
      </text>
    </comment>
    <comment authorId="0" ref="F30">
      <text>
        <t xml:space="preserve">VG: I added BU=x since coverage is white-box
SD : Ok</t>
      </text>
    </comment>
    <comment authorId="0" ref="BF30">
      <text>
        <t xml:space="preserve">6 new dynamic coverage criteria</t>
      </text>
    </comment>
    <comment authorId="0" ref="BV30">
      <text>
        <t xml:space="preserve">coverage criteria</t>
      </text>
    </comment>
    <comment authorId="0" ref="CK30">
      <text>
        <t xml:space="preserve">based on user session logs</t>
      </text>
    </comment>
    <comment authorId="0" ref="CN30">
      <text>
        <t xml:space="preserve">Coverage Criteria </t>
      </text>
    </comment>
    <comment authorId="0" ref="CR30">
      <text>
        <t xml:space="preserve">user session logs</t>
      </text>
    </comment>
    <comment authorId="0" ref="DI30">
      <text>
        <t xml:space="preserve">coverage criteria</t>
      </text>
    </comment>
    <comment authorId="0" ref="DU30">
      <text>
        <t xml:space="preserve">6 new cov criteria:
single URLs, URL seq2, URL seqk, URL names,URL seq2 names, URL seqk names, URL names values, URL seq2 names values, and URL seqk names values.</t>
      </text>
    </comment>
    <comment authorId="0" ref="DW30">
      <text>
        <t xml:space="preserve">For the fault detection experiments, graduate and under-graduate students familiar with JSP/Java servlets/HTML
manually seeded realistic faults in bookstore and CPM. In
general, the seeded faults inserted errors into the applica-
tion’s control flow, the generated UI web pages, and/or the
datastore interactions</t>
      </text>
    </comment>
    <comment authorId="0" ref="ES30">
      <text>
        <t xml:space="preserve">Case Study 1: (Longitudinal Analysis)
RQ1: How can we compare application usage under
different test suites using our dynamic coverage criteria?
RQ2:
How can this comparison be used to help a
tester select between two test suites?
Case Study 2: (Test Case Selection)
RQ1:How does program coverage and fault detection effectiveness of a test suite that satisfies our dynamic coverage criteria vary?
RQ2:How do the time and space costs compare for
reducing a test suite that satisfies the coverage criteria?</t>
      </text>
    </comment>
    <comment authorId="0" ref="FA30">
      <text>
        <t xml:space="preserve">lack of a large number of user sessions
that constitute the requirements universe</t>
      </text>
    </comment>
    <comment authorId="0" ref="FD30">
      <text>
        <t xml:space="preserve">representativeness of SUTs   2)  seeded faults may not be accurate representations of natural faults</t>
      </text>
    </comment>
    <comment authorId="0" ref="GP30">
      <text>
        <t xml:space="preserve">Book:
11 classes, 385 methods, 7791 loc.
CPM):
75 classes, 172 methods, 9300 loc</t>
      </text>
    </comment>
    <comment authorId="0" ref="GR30">
      <text>
        <t xml:space="preserve">CPM</t>
      </text>
    </comment>
    <comment authorId="0" ref="GS30">
      <text>
        <t xml:space="preserve">Book</t>
      </text>
    </comment>
    <comment authorId="0" ref="F31">
      <text>
        <t xml:space="preserve">VG: Better to specify the type of metric on AT. I did it
VG: RE: Type of Testing Activity: I do not think BJ and BK=x since I cannot find traces of Test Automation nor Test Execution in this paper. They say "We also describe how these metrics can be used to support web testing.". So BM=x?
Also "This can make their available test effort more effective since it can be targeted at those less crawlable parts of the system that are most likely to require such effort."
VG: Testing Location: BP=x? Since "...is able to explore all conceptual client pages in the conceptual model of the Web application." AND
"be generated on the server-side as a response to a form submission,"
SD:Done
VG: CB=''? since Webpage forms are source code afterall
SD:Done
VG: CE=x and CF=x since "combining crawler dependent (dynamic) and crawler independent (static) information"
VG: I think CO=''. Instead I put CS=X and put notes there. See it pls
SD:Done</t>
      </text>
    </comment>
    <comment authorId="0" ref="BF31">
      <text>
        <t xml:space="preserve">crawlability metrics</t>
      </text>
    </comment>
    <comment authorId="0" ref="CG31">
      <text>
        <t xml:space="preserve">...is able to explore all conceptual client pages in the conceptual model of the Web application.</t>
      </text>
    </comment>
    <comment authorId="0" ref="CH31">
      <text>
        <t xml:space="preserve">be generated on the server-side as a response to a form submission,</t>
      </text>
    </comment>
    <comment authorId="0" ref="CN31">
      <text>
        <t xml:space="preserve">Webpage forms</t>
      </text>
    </comment>
    <comment authorId="0" ref="CX31">
      <text>
        <t xml:space="preserve">"combining crawler dependent (dynamic) and crawler independent (static) information"</t>
      </text>
    </comment>
    <comment authorId="0" ref="CY31">
      <text>
        <t xml:space="preserve">"combining crawler dependent (dynamic) and crawler independent (static) information"</t>
      </text>
    </comment>
    <comment authorId="0" ref="DL31">
      <text>
        <t xml:space="preserve">"Directing the tester to these areas could be useful to focus the human effort necessary for improving the quality of testing and achieving higher coverage, while saving time and resources."
See "Fig. 2. Application of crawlability metrics to web testing"
</t>
      </text>
    </comment>
    <comment authorId="0" ref="ES31">
      <text>
        <t xml:space="preserve">RQ1:Are the crawlability metrics good indicators of crawlability,
thus of the presence of unexplored pages?
RQ2:Does conditioned
slicing improve crawlability metrics based on the computation
of the interprocedural cyclomatic complexity?</t>
      </text>
    </comment>
    <comment authorId="0" ref="FA31">
      <text>
        <t xml:space="preserve">computation of DFOUT by human(subjectivity)</t>
      </text>
    </comment>
    <comment authorId="0" ref="FC31">
      <text>
        <t xml:space="preserve">Spearman's rank correlation technique used</t>
      </text>
    </comment>
    <comment authorId="0" ref="FD31">
      <text>
        <t xml:space="preserve">limited number of subjects
only PHP applications</t>
      </text>
    </comment>
    <comment authorId="0" ref="GL31">
      <text>
        <t xml:space="preserve">They use their previously proposed tool called WATT. Not proposed in this paper. </t>
      </text>
    </comment>
    <comment authorId="0" ref="GP31">
      <text>
        <t xml:space="preserve">FAQForge 1.3.2: 19 files 834 lines
WebChess 0.8.4 : 24 files 2,701 lines
News Pro 1.4.0 : 30 files 5,473 lines
TimeClock 1.0.4: 62 files 14980 lines</t>
      </text>
    </comment>
    <comment authorId="0" ref="F32">
      <text>
        <t xml:space="preserve">VG: added BM=x
added more details to BZ. We need to write in note the NAMES of derived and inferred models in papers
revised CM, DB
added DD, EH, EI
pls complete SUT info
SD:Ok
</t>
      </text>
    </comment>
    <comment authorId="0" ref="BC32">
      <text>
        <t xml:space="preserve">1. a new technique and tool for detecting
both visual and functional XBIs.
2. A new, powerful machine learning-based technique to detect visual XBIs
3. algorithm to cluster related visual and functional
differences</t>
      </text>
    </comment>
    <comment authorId="0" ref="BD32">
      <text>
        <t xml:space="preserve">In this paper, we
present CROSSCHECK, a more powerful and comprehensive
technique and tool for XBI detection that combines and adapts
these two approaches in a way that leverages their respective
strengths.</t>
      </text>
    </comment>
    <comment authorId="0" ref="BE32">
      <text>
        <t xml:space="preserve">it captures and records the observed behavior in the
form of two navigation models</t>
      </text>
    </comment>
    <comment authorId="0" ref="BF32">
      <text>
        <t xml:space="preserve">A number of metrics...e.g. MatchIndex
CROSSCHECK
a new and improved metric
for image comparison.
Size Difference Ratio, Displacement, Area, Leaf DOM Text Difference, X2 Image Distance, </t>
      </text>
    </comment>
    <comment authorId="0" ref="BJ32">
      <text>
        <t xml:space="preserve">it captures and records the observed behavior in the
form of two navigation models</t>
      </text>
    </comment>
    <comment authorId="0" ref="BN32">
      <text>
        <t xml:space="preserve">Crawls the web application DOMs on different browsers with Crawljax and compares the extracted models.</t>
      </text>
    </comment>
    <comment authorId="0" ref="BV32">
      <text>
        <t xml:space="preserve">a new technique and tool for detecting
both visual and functional XBIs</t>
      </text>
    </comment>
    <comment authorId="0" ref="CA32">
      <text>
        <t xml:space="preserve">CrossCheck is an automated CBI testing tool</t>
      </text>
    </comment>
    <comment authorId="0" ref="CG32">
      <text>
        <t xml:space="preserve">combines DOM-differencing
features with visual-comparison.</t>
      </text>
    </comment>
    <comment authorId="0" ref="CM32">
      <text>
        <t xml:space="preserve">crawl through URL, match DOM, compare GUI (using image processing techniques)</t>
      </text>
    </comment>
    <comment authorId="0" ref="CS32">
      <text>
        <t xml:space="preserve">ﬁnite-state navigation model, 
e.g.,Figure 1. State graph for MyRestaurant in Mozilla Firefox
is using Crawljax. doing automted...</t>
      </text>
    </comment>
    <comment authorId="0" ref="CZ32">
      <text>
        <t xml:space="preserve">The
first phase automatically crawls the target web application
within each of the two browser environments</t>
      </text>
    </comment>
    <comment authorId="0" ref="DF32">
      <text>
        <t xml:space="preserve">See V. OUR APPROACH:
machine learning for visual comparison, Model Comparison</t>
      </text>
    </comment>
    <comment authorId="0" ref="DN32">
      <text>
        <t xml:space="preserve">1. CRAWLJAX needs a specification to guide its exploration
of the application’s behavior and decide which part of it to
ignore.
2. We also manually labelled the
instances as either true, if they corresponded to an XBI, or false otherwise. (input to machine learning process)</t>
      </text>
    </comment>
    <comment authorId="0" ref="DO32">
      <text>
        <t xml:space="preserve">tool is for XBI test automation</t>
      </text>
    </comment>
    <comment authorId="0" ref="DV32">
      <text>
        <t xml:space="preserve">detecting cross-browser differences (CBD), # of trace level
differences (Tr), positional shifts (Po), size differences (Sz),
visibility issues (Vs), text-level mismatches (Tx), and visual
appearance issues (Ap).</t>
      </text>
    </comment>
    <comment authorId="0" ref="DX32">
      <text>
        <t xml:space="preserve">false positives (FPs) defects
differences reported and confirmed (Rep and Conf) in Table</t>
      </text>
    </comment>
    <comment authorId="0" ref="EM32">
      <text>
        <t xml:space="preserve">Compared with CrossT and WebDiff
WebDiff:
S. Roy Choudhary, H. Versee, and A. Orso, “WebDiff: Automated
identification of cross-browser issues in web applications,”
in Proceeding of the 2010 IEEE International Conference on Software Maintenance (ICSM). IEEE, September
2010
CrossT:
A. Mesbah and M. R. Prasad, “Automated cross-browser
compatibility testing,” in Proceeding of the 33rd International
Conference on Software Engineering, ser. ICSE ’11. New
York, NY, USA: ACM, 2011, pp. 561–570.</t>
      </text>
    </comment>
    <comment authorId="0" ref="ES32">
      <text>
        <t xml:space="preserve">RQ1: Can CROSSCHECK identify different kinds of
CBDs in real-world web applications and correlate
them to identify XBIs?
RQ2: How effective is CROSSCHECK when compared to
CROSST and WEBDIFF?</t>
      </text>
    </comment>
    <comment authorId="0" ref="GR32">
      <text>
        <t xml:space="preserve">Restaurant is developed by them to demonstrate
different kinds of cross-browser issues.</t>
      </text>
    </comment>
    <comment authorId="0" ref="GS32">
      <text>
        <t xml:space="preserve">Organizer is open source</t>
      </text>
    </comment>
    <comment authorId="0" ref="GT32">
      <text>
        <t xml:space="preserve">the others are random real world applications</t>
      </text>
    </comment>
    <comment authorId="0" ref="F33">
      <text>
        <t xml:space="preserve">1)not only unit testing. it also discusses interprocedural data flow, so across units  
V: I changed Integration/BD=x 
2)i think it is not dynamic but static analysis. 
V: Agree. The coverage notion is a bit hard to  classify sometimes, it could be dynamic or static analysis. But it is static analysis here, as you said. 
--aysubetincan Thu Feb 16 2012 23:58:41 GMT+0200 (Turkey Standard Time)</t>
      </text>
    </comment>
    <comment authorId="0" ref="BE33">
      <text>
        <t xml:space="preserve">From paper: "A test model is presented to capture..."</t>
      </text>
    </comment>
    <comment authorId="0" ref="BK33">
      <text>
        <t xml:space="preserve">Intraprocedural data ﬂow model</t>
      </text>
    </comment>
    <comment authorId="0" ref="BN33">
      <text>
        <t xml:space="preserve">Test models are proposed to represent
the JSP data flow test artifacts pages with the considerations
of the control flow characteristics of various JSP
implicit objects and action tags</t>
      </text>
    </comment>
    <comment authorId="0" ref="DI33">
      <text>
        <t xml:space="preserve">Def-use pairs are a type of test requirements 
 --vgarousi Tue Aug 23 2011 08:56:58 GMT-0600 (Mountain Daylight Time)</t>
      </text>
    </comment>
    <comment authorId="0" ref="DN33">
      <text>
        <t xml:space="preserve">from paper: "The development of a prototype tool is currently in pro-
gress so as to automate..." 
--vgarousi Tue Aug 23 2011 08:57:43 GMT-0600 (Mountain Daylight Time)</t>
      </text>
    </comment>
    <comment authorId="0" ref="F34">
      <text>
        <t xml:space="preserve">-Why BA=x and not AZ? 
-Why BY=x? Should we consider them as test inputs?
--Mirshokraie Thu 08 Mar 2012 12:44:52 PM PST</t>
      </text>
    </comment>
    <comment authorId="0" ref="G34">
      <text>
        <t xml:space="preserve">model checks navigation. if we consider the navigation only links on client side you're right. if server controls navigation? ok. i checked client --aysubetincan Sun Mar 25 2012 21:12:56 GMT+0300 (Turkey Daylight Time)</t>
      </text>
    </comment>
    <comment authorId="0" ref="BE34">
      <text>
        <t xml:space="preserve">Web Application Graph (WAG) </t>
      </text>
    </comment>
    <comment authorId="0" ref="BJ34">
      <text>
        <t xml:space="preserve">Web Application Graph (WAG) </t>
      </text>
    </comment>
    <comment authorId="0" ref="BN34">
      <text>
        <t xml:space="preserve">use the UML model of WA as input. Generate Web Application Graph (WAG) from UML model and verify this model with Symbolic Model Verifier</t>
      </text>
    </comment>
    <comment authorId="0" ref="DL34">
      <text>
        <t xml:space="preserve">model checking-CTL </t>
      </text>
    </comment>
    <comment authorId="0" ref="F35">
      <text>
        <t xml:space="preserve">need to check test automation. it does concolic testing i.e. runs the tests
--aysubetincan Fri Feb 17 2012 11:41:21 GMT+0200 (Turkey Standard Time)</t>
      </text>
    </comment>
    <comment authorId="0" ref="BC35">
      <text>
        <t xml:space="preserve">A methodology to generate test cases dynamically for executing every branch of an ASP.NET application in order to collect all possible different
HTML outputs and run-time errors. --Mirshokraie October-15-11 10:57:53 AM</t>
      </text>
    </comment>
    <comment authorId="0" ref="BD35">
      <text>
        <t xml:space="preserve">Called Mamoste </t>
      </text>
    </comment>
    <comment authorId="0" ref="BY35">
      <text>
        <t xml:space="preserve">Generating test cases dynamically to collect all possible different
HTML outputs and run-time errors.
--Mirshokraie October-15-11 11:02:43 AM</t>
      </text>
    </comment>
    <comment authorId="0" ref="CK35">
      <text>
        <t xml:space="preserve">Detecting HTML output error. In addition, triggering an
event, such as page load or onclick events, and supply
input parameters. This execution is similar to unit testing where a unit is an event handler.
 --Mirshokraie October-15-11 11:07:19 AM</t>
      </text>
    </comment>
    <comment authorId="0" ref="CN35">
      <text>
        <t xml:space="preserve">Mamoste is to be used
on the development side as a white box testing tool.
 --Mirshokraie October-15-11 11:23:15 AM</t>
      </text>
    </comment>
    <comment authorId="0" ref="DA35">
      <text>
        <t xml:space="preserve">From the paper: Our tool, called Mamoste, adapts concolic testing
technique. --Mirshokraie October-15-11 11:25:26 AM</t>
      </text>
    </comment>
    <comment authorId="0" ref="DH35">
      <text>
        <t xml:space="preserve">This technique runs and test the program with bottom element
for all inputs, captures the path constraints exercised
by the run, infers unexplored path constraints, generates
new concrete input values from these constraints with the help of a constraint solver, and loops until
there are no new input values generated or timeout. --Mirshokraie October-15-11 11:29:26 AM</t>
      </text>
    </comment>
    <comment authorId="0" ref="DL35">
      <text>
        <t xml:space="preserve">Capturing path constraints exercised
by the run, inferring unexplored path constraints with the help of constraint solver.</t>
      </text>
    </comment>
    <comment authorId="0" ref="DO35">
      <text>
        <t xml:space="preserve">Note: The tool needs manual instrumentation to catch branch conditions and related to web inputs. --Mirshokraie October-15-11 11:42:29 AM</t>
      </text>
    </comment>
    <comment authorId="0" ref="DS35">
      <text>
        <t xml:space="preserve">"Mamoste exercised more branching than manual"
From the "Experiment" part of the paper: It increases code coverage by executing
different branches of tested program than manual testing --Mirshokraie October-15-11 12:06:00 PM</t>
      </text>
    </comment>
    <comment authorId="0" ref="DV35">
      <text>
        <t xml:space="preserve">Table 2: HTML faults found by Mamoste</t>
      </text>
    </comment>
    <comment authorId="0" ref="EO35">
      <text>
        <t xml:space="preserve">The same subset of components is manually tested to reason about the effectiveness of
Mamoste.
--Mirshokraie October-15-11 12:09:04 PM</t>
      </text>
    </comment>
    <comment authorId="0" ref="FA35">
      <text>
        <t xml:space="preserve">NONE</t>
      </text>
    </comment>
    <comment authorId="0" ref="FH35">
      <text>
        <t xml:space="preserve">"Our limitations are as follows. First, Mamoste"</t>
      </text>
    </comment>
    <comment authorId="0" ref="FJ35">
      <text>
        <t xml:space="preserve">a subset of SGB.net system of Ministry of Finance of Turkey</t>
      </text>
    </comment>
    <comment authorId="0" ref="FK35">
      <text>
        <t xml:space="preserve">Laboratory experiment (software)</t>
      </text>
    </comment>
    <comment authorId="0" ref="FV35">
      <text>
        <t xml:space="preserve">Table 2: HTML faults found by Mamoste</t>
      </text>
    </comment>
    <comment authorId="0" ref="GP35">
      <text>
        <t xml:space="preserve">184+354+179+214+276</t>
      </text>
    </comment>
    <comment authorId="0" ref="F36">
      <text>
        <t xml:space="preserve">They have done fault injection as well, thus: shouldn't CG=x too?
 --vgarousi Sun Feb 19 2012 22:05:11 GMT-0700 (Mountain Standard Time)</t>
      </text>
    </comment>
    <comment authorId="0" ref="BA36">
      <text>
        <t xml:space="preserve">invariant</t>
      </text>
    </comment>
    <comment authorId="0" ref="BC36">
      <text>
        <t xml:space="preserve">a systematic method to characterize the correct behavior of a web application for robustness testing. 
--Mirshokraie October-16-11 9:34:56 AM</t>
      </text>
    </comment>
    <comment authorId="0" ref="BD36">
      <text>
        <t xml:space="preserve">DoDOM</t>
      </text>
    </comment>
    <comment authorId="0" ref="CB36">
      <text>
        <t xml:space="preserve">Sequence of DOMs corresponding to the
execution is compared with the sequence of invariant DOMs. They classify the execution as a successful detection if any of
the DOM trees in the sequence exhibits a mismatch with the
corresponding DOM in the invariant sequence. 
--Mirshokraie October-16-11 10:42:07 AM</t>
      </text>
    </comment>
    <comment authorId="0" ref="CK36">
      <text>
        <t xml:space="preserve">at event and DOM level(?) 
--Mirshokraie October-16-11 10:48:19 AM</t>
      </text>
    </comment>
    <comment authorId="0" ref="CQ36">
      <text>
        <t xml:space="preserve">Invariants are derived
dynamically by recording a sequence of user interactions with the application and observing the changes to the DOM by
repeatedly replaying the sequence. --Mirshokraie October-16-11 11:08:18 AM</t>
      </text>
    </comment>
    <comment authorId="0" ref="DD36">
      <text>
        <t xml:space="preserve">The invariants are derived dynamically by recording a sequence of user interactions with the application and observing the changes to the DOM by
repeatedly replaying the sequence. --Mirshokraie October-16-11 11:11:24 AM</t>
      </text>
    </comment>
    <comment authorId="0" ref="DJ36">
      <text>
        <t xml:space="preserve">After each event executes, they check the conformance of the resulting DOM to the invariant portions.
A deviation indicates an error. --Mirshokraie October-16-11 11:13:36 AM</t>
      </text>
    </comment>
    <comment authorId="0" ref="EA36">
      <text>
        <t xml:space="preserve">the JS logger incurs an overhead of 3.5 seconds to traverse</t>
      </text>
    </comment>
    <comment authorId="0" ref="EP36">
      <text>
        <t xml:space="preserve">performance overhead</t>
      </text>
    </comment>
    <comment authorId="0" ref="ES36">
      <text>
        <t xml:space="preserve">Q1. How many executions do we need to learn the invariant DOMs for a web application?
Q2. How many event errors impact the web application’s DOM and how effective are the invariants at detecting these errors?
Q3. How many domain failures impact the web application’s DOM and how effective are the invariants at detecting these errors?</t>
      </text>
    </comment>
    <comment authorId="0" ref="FA36">
      <text>
        <t xml:space="preserve">(Type of mutations)
incorrectly typed: "An external threat to validity is that our faultinjection is limited to event errors and domain failures."</t>
      </text>
    </comment>
    <comment authorId="0" ref="FD36">
      <text>
        <t xml:space="preserve">they call this: "An internal threat to validity is the limited number of applications we examined in the study."</t>
      </text>
    </comment>
    <comment authorId="0" ref="FJ36">
      <text>
        <t xml:space="preserve">a subset of SGB.net system of Ministry of Finance of Turkey</t>
      </text>
    </comment>
    <comment authorId="0" ref="FK36">
      <text>
        <t xml:space="preserve">Laboratory experiment (software)</t>
      </text>
    </comment>
    <comment authorId="0" ref="FV36">
      <text>
        <t xml:space="preserve">page 3: Fault Model:
Event errors, Domain failures
User-Event Error: Do not replay the event at the client
message Error: Do not forward the message to the server
Timeout Error: Do not replay the timeout at the client</t>
      </text>
    </comment>
    <comment authorId="0" ref="FY36">
      <text>
        <t xml:space="preserve">a small portion implemented as a proxy server. 
--Mirshokraie October-16-11 11:20:43 AM</t>
      </text>
    </comment>
    <comment authorId="0" ref="GP36">
      <text>
        <t xml:space="preserve">499+9647+15603 JS code</t>
      </text>
    </comment>
    <comment authorId="0" ref="F37">
      <text>
        <t xml:space="preserve">VG: AS should be '' since UML models are not NEW contributions of this paper
I made BH=1, since Statistical testing is somewhat critieria based
Pls delete BM since it is not a test activity
BO should be 1, it is Server-side
test level: I think it shuold be both unit and integration, since it looks at each induvidual HTML page ans the "Transition probabilities" among them
I set CF=x, see the notes
RE:CS=x. UML is not  a test artifact. CS should instead be: test suite of Paths sorted by decreasing probability (Table 3)
</t>
      </text>
    </comment>
    <comment authorId="0" ref="S37">
      <text>
        <t xml:space="preserve">main focus seems to be extracting the UML model of WA. But there is a statistical testing section. (
(Confused)</t>
      </text>
    </comment>
    <comment authorId="0" ref="BC37">
      <text>
        <t xml:space="preserve">a dynamic analysis technique</t>
      </text>
    </comment>
    <comment authorId="0" ref="BE37">
      <text>
        <t xml:space="preserve">extracting uml</t>
      </text>
    </comment>
    <comment authorId="0" ref="BJ37">
      <text>
        <t xml:space="preserve">fig 2</t>
      </text>
    </comment>
    <comment authorId="0" ref="BN37">
      <text>
        <t xml:space="preserve">A model of dynamic Web applications was presented
and used for the definition of statistical analysis and testing
techniques</t>
      </text>
    </comment>
    <comment authorId="0" ref="BO37">
      <text>
        <t xml:space="preserve">no empirical evaluation section</t>
      </text>
    </comment>
    <comment authorId="0" ref="BV37">
      <text>
        <t xml:space="preserve">3.3 Statistical testing</t>
      </text>
    </comment>
    <comment authorId="0" ref="BW37">
      <text>
        <t xml:space="preserve">The HTML code produced during execution on
proper input values is subject to a static analysis. (test enabler) </t>
      </text>
    </comment>
    <comment authorId="0" ref="BX37">
      <text>
        <t xml:space="preserve">a dynamic analysis technique is proposed
for the extraction of a Web application model through its
execution</t>
      </text>
    </comment>
    <comment authorId="0" ref="BY37">
      <text>
        <t xml:space="preserve">Table 3. Paths sorted by decreasing probability.</t>
      </text>
    </comment>
    <comment authorId="0" ref="CS37">
      <text>
        <t xml:space="preserve">extraction of a Web application model through its execution</t>
      </text>
    </comment>
    <comment authorId="0" ref="CX37">
      <text>
        <t xml:space="preserve">static analysis is done to generated html during execution</t>
      </text>
    </comment>
    <comment authorId="0" ref="CY37">
      <text>
        <t xml:space="preserve">2.2 Dynamic model recovery</t>
      </text>
    </comment>
    <comment authorId="0" ref="DL37">
      <text>
        <t xml:space="preserve">UML</t>
      </text>
    </comment>
    <comment authorId="0" ref="BC38">
      <text>
        <t xml:space="preserve">A method combining dynamic and static analysis to
mutate branches that are within highly ranked functions
and exhibit high structural complexity</t>
      </text>
    </comment>
    <comment authorId="0" ref="BD38">
      <text>
        <t xml:space="preserve">An implementation of our mutation testing approach in
a tool called MUTANDIS, which is freely available</t>
      </text>
    </comment>
    <comment authorId="0" ref="BF38">
      <text>
        <t xml:space="preserve">A new metric, called FunctionRank, for ranking
functions in terms of their relative importance based
on the application’s dynamic behaviour</t>
      </text>
    </comment>
    <comment authorId="0" ref="BG38">
      <text>
        <t xml:space="preserve">A process that favours behaviour-affecting variables
for mutation, to reduce the likelihood of equivalent
mutants</t>
      </text>
    </comment>
    <comment authorId="0" ref="BH38">
      <text>
        <t xml:space="preserve">A set of JavaScript-specific mutation operators, based
on common mistakes made by programmers</t>
      </text>
    </comment>
    <comment authorId="0" ref="BW38">
      <text>
        <t xml:space="preserve">A method combining dynamic and static analysis to
mutate branches that are within highly ranked functions
and exhibit high structural complexity</t>
      </text>
    </comment>
    <comment authorId="0" ref="CE38">
      <text>
        <t xml:space="preserve">killing mutants is considered a test criteria </t>
      </text>
    </comment>
    <comment authorId="0" ref="CH38">
      <text>
        <t xml:space="preserve">works on client side javascript code but test case execution covers both sides. Server side is not isolated.</t>
      </text>
    </comment>
    <comment authorId="0" ref="CL38">
      <text>
        <t xml:space="preserve">the mutation operators can be used in any level</t>
      </text>
    </comment>
    <comment authorId="0" ref="CQ38">
      <text>
        <t xml:space="preserve">Thus, we gather a list of potential variables for mutation,
which are obtained based on the inferred dynamic invariants
and their usage frequency.</t>
      </text>
    </comment>
    <comment authorId="0" ref="CS38">
      <text>
        <t xml:space="preserve">the dynamic call graph of
the application. Using the dynamic call graph, we (9) rank the program’s
functions in terms of their relative importance from the
application’s behaviour point of view</t>
      </text>
    </comment>
    <comment authorId="0" ref="CX38">
      <text>
        <t xml:space="preserve">We therefore (4) statically analyze the JavaScript code of the web application and (8) measure its cyclomatic complexity </t>
      </text>
    </comment>
    <comment authorId="0" ref="CY38">
      <text>
        <t xml:space="preserve">since it is mutation testing approach</t>
      </text>
    </comment>
    <comment authorId="0" ref="CZ38">
      <text>
        <t xml:space="preserve">We collect execution traces by instrumenting
the custom JavaScript code of each application and executing
the instrumented code through automated dynamic crawling</t>
      </text>
    </comment>
    <comment authorId="0" ref="DE38">
      <text>
        <t xml:space="preserve">they extract a dynamic call graph and use it for ranking the program’s
functions in terms of their relative importance from the
application’s behaviour point of view</t>
      </text>
    </comment>
    <comment authorId="0" ref="DI38">
      <text>
        <t xml:space="preserve">a mutant is a test requirement (a test case is needed to kill it)</t>
      </text>
    </comment>
    <comment authorId="0" ref="DN38">
      <text>
        <t xml:space="preserve">In terms of internal threat to
validity, we had to manually inspect the application’s code
to detect equivalent mutants</t>
      </text>
    </comment>
    <comment authorId="0" ref="DW38">
      <text>
        <t xml:space="preserve"># of equivalent and non-equivalent
mutants.
# of killed and survived mutants by existing test suite</t>
      </text>
    </comment>
    <comment authorId="0" ref="ES38">
      <text>
        <t xml:space="preserve">RQ1: How efficient is MUTANDIS in generating nonequivalent mutants?
RQ2: How effective is MUTANDIS in injecting critical behaviour-affecting faults?
RQ3: How useful is MUTANDIS in assessing existing test cases of a given application?</t>
      </text>
    </comment>
    <comment authorId="0" ref="FA38">
      <text>
        <t xml:space="preserve">"manually inspecting the code to detect equivalanet mutants"</t>
      </text>
    </comment>
    <comment authorId="0" ref="FD38">
      <text>
        <t xml:space="preserve">-limited number of subjects
-no quantative analysis wrt other mutation testings but there is none for javascript</t>
      </text>
    </comment>
    <comment authorId="0" ref="FV38">
      <text>
        <t xml:space="preserve">there is a bug severity taxonomy;
Critical Crashes, data loss 5
Major Major loss of functionality 4
Normal Some loss of functionality, regular issues 3
Minor Minor loss of functionality 2
Trivial Cosmetic issue 1</t>
      </text>
    </comment>
    <comment authorId="0" ref="GB38">
      <text>
        <t xml:space="preserve">Our generic mutation testing approach can be applied to
any programming language</t>
      </text>
    </comment>
    <comment authorId="0" ref="GM38">
      <text>
        <t xml:space="preserve">https://github.com/saltlab/mutandis/</t>
      </text>
    </comment>
    <comment authorId="0" ref="GO38">
      <text>
        <t xml:space="preserve">SameGame[http://crawljax.com/same-game]
Tunnel[http://arcade.christianmontoya.com/tunnel]
GhostBusters[http://10k.aneventapart.com/2/Uploads/657]
Symbol[http://10k.aneventapart.com/2/Uploads/652]
TuduList[http://tudu.ess.ch/tudu]
SimpleCart[http://simplecartjs.org]
JQuery[https://github.com/jquery/jquery]</t>
      </text>
    </comment>
    <comment authorId="0" ref="F39">
      <text>
        <t xml:space="preserve">-I think their evaluation is a bit more than a simple solution proposal.
-I believe it is not fully automated (CD=x and CE=x).
 --Mirshokraie Fri 09 Mar 2012 03:30:16 PM PST</t>
      </text>
    </comment>
    <comment authorId="0" ref="G39">
      <text>
        <t xml:space="preserve">we cannot say it is manual. once there is a model it is automated. --aysubetincan Sun Mar 25 2012 21:25:22 GMT+0300 (Turkey Daylight Time)</t>
      </text>
    </comment>
    <comment authorId="0" ref="BE39">
      <text>
        <t xml:space="preserve">NAVIGATION STATE MACHINES</t>
      </text>
    </comment>
    <comment authorId="0" ref="BN39">
      <text>
        <t xml:space="preserve">Manually extract navigation state machines and use for model checking</t>
      </text>
    </comment>
    <comment authorId="0" ref="EA39">
      <text>
        <t xml:space="preserve">Server processing time</t>
      </text>
    </comment>
    <comment authorId="0" ref="FH39">
      <text>
        <t xml:space="preserve">the usefulness of these
works is mitigated by one key limitation: one cannot assume
that the navigation flow intended by the programmer
is the only possible path of execution in the implementation</t>
      </text>
    </comment>
    <comment authorId="0" ref="FJ39">
      <text>
        <t xml:space="preserve">2 of SUTs are commersial</t>
      </text>
    </comment>
    <comment authorId="0" ref="FK39">
      <text>
        <t xml:space="preserve">laboratory experiment</t>
      </text>
    </comment>
    <comment authorId="0" ref="FV39">
      <text>
        <t xml:space="preserve">NAVIGATION ERRORS:
Basic Errors. This ﬁrst category corresponds to errors that can be reproduced by simply using the application’s navigation links, and possibly the web browser’s back button and bookmark functionality. 
Multi-window Errors: Multi-window Errors. As in the previous category, these errors can be reproduced solely by using the application’s and web browser’s buttons; however, they require two different browser windows. 
Direct URL Errors. This type of errors are caused by typing a URL in the web browser’s location bar from the “wrong” context.</t>
      </text>
    </comment>
    <comment authorId="0" ref="GP39">
      <text>
        <t xml:space="preserve">401K+159K+41K
See table 1 in page 2</t>
      </text>
    </comment>
    <comment authorId="0" ref="B40">
      <text>
        <t xml:space="preserve">Nice! "The final taxonomy is publicly available for consultation and editing on a Wiki page."
 --vgarousi Sun Aug 21 2011 18:53:56 GMT-0600 (Mountain Daylight Time)</t>
      </text>
    </comment>
    <comment authorId="0" ref="F40">
      <text>
        <t xml:space="preserve">1) describes faults for both dynamic and static  web apps, so check CJ and CK
fixed
2) utopia: 6 files 1529 LOC same as from the paper 33 
fixed
--aysubetincan Sat Feb 18 2012 21:58:17 GMT+0200 (Turkey Standard Time)</t>
      </text>
    </comment>
    <comment authorId="0" ref="T40">
      <text>
        <t xml:space="preserve">nice paper. This actually relates to our attribute on "fault model"
--vgarousi Tue Aug 02 2011 11:21:57 GMT-0600 (Mountain Daylight Time)</t>
      </text>
    </comment>
    <comment authorId="0" ref="AZ40">
      <text>
        <t xml:space="preserve">fault taxonomy</t>
      </text>
    </comment>
    <comment authorId="0" ref="BH40">
      <text>
        <t xml:space="preserve">a Web Fault Taxonomy </t>
      </text>
    </comment>
    <comment authorId="0" ref="BY40">
      <text>
        <t xml:space="preserve">some mutation testing in the paper
 --vgarousi Sun Aug 21 2011 19:07:23 GMT-0600 (Mountain Daylight Time)</t>
      </text>
    </comment>
    <comment authorId="0" ref="CE40">
      <text>
        <t xml:space="preserve">
</t>
      </text>
    </comment>
    <comment authorId="0" ref="CK40">
      <text>
        <t xml:space="preserve">see Table 1 in paper
 --vgarousi Sun Aug 21 2011 19:07:51 GMT-0600 (Mountain Daylight Time)</t>
      </text>
    </comment>
    <comment authorId="0" ref="CU40">
      <text>
        <t xml:space="preserve">N/A for this paper
 --vgarousi Sun Aug 21 2011 19:08:08 GMT-0600 (Mountain Daylight Time)</t>
      </text>
    </comment>
    <comment authorId="0" ref="DL40">
      <text>
        <t xml:space="preserve">N/A for this paper
 --vgarousi Sun Aug 21 2011 19:08:29 GMT-0600 (Mountain Daylight Time)</t>
      </text>
    </comment>
    <comment authorId="0" ref="EN40">
      <text>
        <t xml:space="preserve">see title of paper
 --vgarousi Sun Aug 21 2011 18:51:59 GMT-0600 (Mountain Daylight Time)</t>
      </text>
    </comment>
    <comment authorId="0" ref="ES40">
      <text>
        <t xml:space="preserve">RQ1 : Are bugs evenly distributed among the fault classes
of the taxonomy?
RQ2 : How many non-classifiable bugs are there?
RQ3 : How mutually exclusive and ambiguous is the taxonomy?
RQ4 : How Web-specific are the faults associated with bugs
reported for real Web applications?</t>
      </text>
    </comment>
    <comment authorId="0" ref="FA40">
      <text>
        <t xml:space="preserve">the use of only two classifiers</t>
      </text>
    </comment>
    <comment authorId="0" ref="FB40">
      <text>
        <t xml:space="preserve">Some degree of
subjectivity affects the computation of Confidence of
classification and, of course, the classification of the
bugs</t>
      </text>
    </comment>
    <comment authorId="0" ref="FC40">
      <text>
        <t xml:space="preserve">conclusions rely on the interpretation of the metrics and the Confidence of classification declared by the classifiers</t>
      </text>
    </comment>
    <comment authorId="0" ref="FD40">
      <text>
        <t xml:space="preserve">The representativeness of the considered bug
dataset can be limited by: (i) number of bugs considered
in the experiment (376 in total) and (ii) the
bug descriptions in the bug reports, coming from the
user community of open source software, not from customers
paying for a product.</t>
      </text>
    </comment>
    <comment authorId="0" ref="FK40">
      <text>
        <t xml:space="preserve">laboratory experiment</t>
      </text>
    </comment>
    <comment authorId="0" ref="FL40">
      <text>
        <t xml:space="preserve">expert testers used</t>
      </text>
    </comment>
    <comment authorId="0" ref="FV40">
      <text>
        <t xml:space="preserve">the whole paper</t>
      </text>
    </comment>
    <comment authorId="0" ref="GS40">
      <text>
        <t xml:space="preserve">four: PHPAdmin, AjaxAnywhere, ZK - Simply Ajax, Sarissa,
 --vgarousi Sun Aug 21 2011 18:59:58 GMT-0600 (Mountain Daylight Time)</t>
      </text>
    </comment>
    <comment authorId="0" ref="F41">
      <text>
        <t xml:space="preserve">All look good to me
 --vgarousi Tue Feb 21 2012 19:41:29 GMT-0700 (Mountain Standard Time)</t>
      </text>
    </comment>
    <comment authorId="0" ref="T41">
      <text>
        <t xml:space="preserve">actually, a "Challenge" paper 
it is just 3 pages
--vgarousi Tue Aug 02 2011 11:23:15 GMT-0600 (Mountain Daylight Time)</t>
      </text>
    </comment>
    <comment authorId="0" ref="BR41">
      <text>
        <t xml:space="preserve">only results
</t>
      </text>
    </comment>
    <comment authorId="0" ref="BC42">
      <text>
        <t xml:space="preserve">The technique generates
tests automatically, uses the tests to detect failures, and minimizes the conditions on the inputs exposing each failure, so that the resulting bug reports are small and useful in finding and fixing the underlying faults. --Mirshokraie October-16-11 4:21:52 PM</t>
      </text>
    </comment>
    <comment authorId="0" ref="BD42">
      <text>
        <t xml:space="preserve">Apollo 
--Mirshokraie October-16-11 4:22:33 PM</t>
      </text>
    </comment>
    <comment authorId="0" ref="CB42">
      <text>
        <t xml:space="preserve">Application under test is first executed with an empty input. During each execution, the program is monitored to record path  constraints that capture the outcome of control-flow predicates. The idea is to execute an application on an initial input, and then on additional inputs obtained by
solving constraints derived from exercised control flow path.
--Mirshokraie October-16-11 4:31:13 PM</t>
      </text>
    </comment>
    <comment authorId="0" ref="CC42">
      <text>
        <t xml:space="preserve">For each execution, an oracle determines whether fatal failures or HTML well-formedness failures occur, the latter via use of an HTML validator.</t>
      </text>
    </comment>
    <comment authorId="0" ref="CN42">
      <text>
        <t xml:space="preserve">From the paper: our
technique is white-box...
 --Mirshokraie October-16-11 4:41:27 PM</t>
      </text>
    </comment>
    <comment authorId="0" ref="DA42">
      <text>
        <t xml:space="preserve">It is based on combined concrete and symbolic execution.
 --Mirshokraie October-16-11 4:42:52 PM</t>
      </text>
    </comment>
    <comment authorId="0" ref="DS42">
      <text>
        <t xml:space="preserve">They also measure line coverage. --Mirshokraie October-16-11 4:53:27 PM</t>
      </text>
    </comment>
    <comment authorId="0" ref="DV42">
      <text>
        <t xml:space="preserve">discovering HTML
malformedness faults in PHP applications
they used WDG offline HTML validator: The analysis uses
an HTML validator and covers the whole language standard. They
performed evaluation on a set of applications overlapping with
Minamide’s which presents a static analysis for discovering HTML
malformedness faults in PHP applications. 
--Mirshokraie October-16-11 4:47:57 PM</t>
      </text>
    </comment>
    <comment authorId="0" ref="EM42">
      <text>
        <t xml:space="preserve">We compared our technique to two other approaches. First, we
implemented an approach similar to that proposed by Halfond and
Orso [17] for JavaScript (described as Randomized below). Second,
we compared our results to those reported by Minamide’s
static analysis [23] on the same subject programs
[17] W. G. J. Halfond and A. Orso. Improving test case generation for Web applications using automated interface discovery. In ESEC-FSE, 2007.
[23] Y. Minamide. Static approximation of dynamically generated Web pages. In WWW, 2005.</t>
      </text>
    </comment>
    <comment authorId="0" ref="ES42">
      <text>
        <t xml:space="preserve">Q1. How many faults can Apollo find, and of what varieties?
Q2. How effective is the fault localization technique of Apollo
compared to alternative approaches such as randomized testing,
in terms of the number and severity of discovered faults
and the line coverage achieved?
Q3. How effective is
our minimization in reducing the size of inputs parameter constraints and failure-inducing inputs?</t>
      </text>
    </comment>
    <comment authorId="0" ref="FB42">
      <text>
        <t xml:space="preserve">Apollo may be able to
better assist the programmer in pinpointing the location of the fault</t>
      </text>
    </comment>
    <comment authorId="0" ref="FD42">
      <text>
        <t xml:space="preserve">We only used Apollo to find faults in four PHP
projects</t>
      </text>
    </comment>
    <comment authorId="0" ref="FH42">
      <text>
        <t xml:space="preserve">they have titles for these threat types but have not mentioned about threats. They are defending their approach in this section.</t>
      </text>
    </comment>
    <comment authorId="0" ref="FK42">
      <text>
        <t xml:space="preserve">laboratory experiment</t>
      </text>
    </comment>
    <comment authorId="0" ref="FV42">
      <text>
        <t xml:space="preserve">see 2.3 Failures in PHP Programs
1- execution failures are caused by missing an included ﬁle, wrong MySQL query, and uncaught exceptions. 
2- producing malformed HTML</t>
      </text>
    </comment>
    <comment authorId="0" ref="GP42">
      <text>
        <t xml:space="preserve">1712+4718+8181+16634</t>
      </text>
    </comment>
    <comment authorId="0" ref="F43">
      <text>
        <t xml:space="preserve">I'm agree with selected items. 
--Mirshokraie March-09-12 10:38:39 PM</t>
      </text>
    </comment>
    <comment authorId="0" ref="CN43">
      <text>
        <t xml:space="preserve">HTML source code
 --vgarousi Sun Sep 25 2011 19:06:03 GMT-0600 (Mountain Daylight Time)</t>
      </text>
    </comment>
    <comment authorId="0" ref="CX43">
      <text>
        <t xml:space="preserve">analysis of HTML code
 --vgarousi Sun Sep 25 2011 19:06:19 GMT-0600 (Mountain Daylight Time)</t>
      </text>
    </comment>
    <comment authorId="0" ref="DK43">
      <text>
        <t xml:space="preserve">test code in TTCN
 --vgarousi Sun Sep 25 2011 19:06:36 GMT-0600 (Mountain Daylight Time)</t>
      </text>
    </comment>
    <comment authorId="0" ref="F44">
      <text>
        <t xml:space="preserve">Test-case Design is based on use cases (a form of requirements). Thus I think it is somewhat criteria-based. 
Why do we have BM=x? BH=x already.
"Manual versus Automated testing": the tool generates tests from use case automatically, so CD=""
There is really no evaluations in the paper.
notes in CM: "if selenium can, yes": I do not think selenium can make AJAX calls. I have used it.
DK=x?
 --vgarousi Tue Feb 21 2012 20:56:28 GMT-0700 (Mountain Standard Time)</t>
      </text>
    </comment>
    <comment authorId="0" ref="G44">
      <text>
        <t xml:space="preserve">for criteria I looked for coverage criteria, requirements need to be human processed. if req is a criteria then please feel free to correct the marking
i agree with your other comments</t>
      </text>
    </comment>
    <comment authorId="0" ref="Q44">
      <text>
        <t xml:space="preserve">discuss item
 --amesbah Tue Aug 02 2011 17:16:28 GMT-0700 (PDT)</t>
      </text>
    </comment>
    <comment authorId="0" ref="Z44">
      <text>
        <t xml:space="preserve">so shouldn't we include tool papers?
I would say we should.
 --vgarousi Wed Aug 03 2011 16:55:51 GMT-0600 (Mountain Daylight Time)</t>
      </text>
    </comment>
    <comment authorId="0" ref="DK44">
      <text>
        <t xml:space="preserve">Selenium test code
</t>
      </text>
    </comment>
    <comment authorId="0" ref="GL44">
      <text>
        <t xml:space="preserve">I put this here so that we get the right count for the tools proposed in papers
--vgarousi Tue Feb 21 2012 21:03:23 GMT-0700 (Mountain Standard Time)</t>
      </text>
    </comment>
    <comment authorId="0" ref="F45">
      <text>
        <t xml:space="preserve">VG: why AS=x? I cannot see a new model in this paper. "state-transition diagram" is nothing new
BG=x: "running tests through UI" will not relate to "Dynamic Verification (analysis)"?
SD:</t>
      </text>
    </comment>
    <comment authorId="0" ref="S45">
      <text>
        <t xml:space="preserve">Functional test case generation from the user inteface interactions</t>
      </text>
    </comment>
    <comment authorId="0" ref="W45">
      <text>
        <t xml:space="preserve">We implemented our approach in a prototype tool called WATEG (Web Application TEst Generator), and conducted two empirical studies, using ﬁve open-source web applications.</t>
      </text>
    </comment>
    <comment authorId="0" ref="BD45">
      <text>
        <t xml:space="preserve">WATEG (Web Application TEst Generator)</t>
      </text>
    </comment>
    <comment authorId="0" ref="BE45">
      <text>
        <t xml:space="preserve">state-transition diagram (STD)</t>
      </text>
    </comment>
    <comment authorId="0" ref="BJ45">
      <text>
        <t xml:space="preserve">state-transition diagram (STD)</t>
      </text>
    </comment>
    <comment authorId="0" ref="BN45">
      <text>
        <t xml:space="preserve">creates an abstract state-transition diagram and uses for automatically generating tests</t>
      </text>
    </comment>
    <comment authorId="0" ref="BP45">
      <text>
        <t xml:space="preserve">they conducted 2 empirical studies using 5 open source web applications </t>
      </text>
    </comment>
    <comment authorId="0" ref="BX45">
      <text>
        <t xml:space="preserve">running tests through UI</t>
      </text>
    </comment>
    <comment authorId="0" ref="BY45">
      <text>
        <t xml:space="preserve">test generation guided by the state-transition diagram (STD)</t>
      </text>
    </comment>
    <comment authorId="0" ref="CM45">
      <text>
        <t xml:space="preserve">testing the business rules through UI</t>
      </text>
    </comment>
    <comment authorId="0" ref="CP45">
      <text>
        <t xml:space="preserve">the model is extracted. Not an input.</t>
      </text>
    </comment>
    <comment authorId="0" ref="CS45">
      <text>
        <t xml:space="preserve">relies on directed crawling via the application’s GUI.
creates an abstract state-transition diagram</t>
      </text>
    </comment>
    <comment authorId="0" ref="CZ45">
      <text>
        <t xml:space="preserve">crawling for extracting model</t>
      </text>
    </comment>
    <comment authorId="0" ref="DE45">
      <text>
        <t xml:space="preserve">extracted model is used for test case generation</t>
      </text>
    </comment>
    <comment authorId="0" ref="DI45">
      <text>
        <t xml:space="preserve">firstly a model is generated which is a test enabler and can be accepted as requirement for test code generation</t>
      </text>
    </comment>
    <comment authorId="0" ref="DK45">
      <text>
        <t xml:space="preserve">test script</t>
      </text>
    </comment>
    <comment authorId="0" ref="DO45">
      <text>
        <t xml:space="preserve">We have developed a technique for automatically generating
test cases to cover business rules.</t>
      </text>
    </comment>
    <comment authorId="0" ref="DT45">
      <text>
        <t xml:space="preserve"># of transitions covered
# of states covered
# of paths covered</t>
      </text>
    </comment>
    <comment authorId="0" ref="DU45">
      <text>
        <t xml:space="preserve"># of rules covered
# of rules triggered
# of rules observed
</t>
      </text>
    </comment>
    <comment authorId="0" ref="EA45">
      <text>
        <t xml:space="preserve">time taken by the three techniques</t>
      </text>
    </comment>
    <comment authorId="0" ref="EP45">
      <text>
        <t xml:space="preserve">comparing the time taken by the three techniques.</t>
      </text>
    </comment>
    <comment authorId="0" ref="FF45">
      <text>
        <t xml:space="preserve">Context is enterprise web applications</t>
      </text>
    </comment>
    <comment authorId="0" ref="FG45">
      <text>
        <t xml:space="preserve">Detailed introduction section describes the study design </t>
      </text>
    </comment>
    <comment authorId="0" ref="FH45">
      <text>
        <t xml:space="preserve">threats to validity is not present</t>
      </text>
    </comment>
    <comment authorId="0" ref="FJ45">
      <text>
        <t xml:space="preserve">open source SUT's</t>
      </text>
    </comment>
    <comment authorId="0" ref="FK45">
      <text>
        <t xml:space="preserve">laboratory experiment</t>
      </text>
    </comment>
    <comment authorId="0" ref="FS45">
      <text>
        <t xml:space="preserve">One of the SUTs is Ajax application (Tudu)</t>
      </text>
    </comment>
    <comment authorId="0" ref="GL45">
      <text>
        <t xml:space="preserve">We implemented our approach in a tool called WATEG
(Web Application TEst Generator)</t>
      </text>
    </comment>
    <comment authorId="0" ref="F46">
      <text>
        <t xml:space="preserve">Added notes to AU, BV
I wonder why do you think CH should be x? I do not see a manual comparison for the purpose of evaluation 
 --vgarousi Tue Feb 21 2012 21:24:22 GMT-0700 (Mountain Standard Time)</t>
      </text>
    </comment>
    <comment authorId="0" ref="G46">
      <text>
        <t xml:space="preserve">ch=x? there is a manual comparison to asses the learned model. yes, it is not for the purpose of evaluation. so i unchecked.
should this paper not be in this SM, since we checked for evaluations?
 --aysubetincan Mon Mar 26 2012 11:47:15 GMT+0300 (GTB Daylight Time)</t>
      </text>
    </comment>
    <comment authorId="0" ref="BZ46">
      <text>
        <t xml:space="preserve">See Section 3.1 Input philosophy
 --vgarousi Tue Feb 21 2012 21:23:59 GMT-0700 (Mountain Standard Time)</t>
      </text>
    </comment>
    <comment authorId="0" ref="DD46">
      <text>
        <t xml:space="preserve">See Section 3.2 Recording test cases
 --vgarousi Tue Feb 21 2012 21:25:10 GMT-0700 (Mountain Standard Time)</t>
      </text>
    </comment>
    <comment authorId="0" ref="F47">
      <text>
        <t xml:space="preserve">Shouldn't the X under AI be under AD instead?
They also propose a tool called WAM, so should AE=X?
The X under AV better be under AT. It is a Test-case Design approach.
They propose coverage criteria: command-form, and input-parameter. coverage -&gt; AG=X?
 --vgarousi Tue Feb 21 2012 21:36:22 GMT-0700 (Mountain Standard Time)</t>
      </text>
    </comment>
    <comment authorId="0" ref="BC47">
      <text>
        <t xml:space="preserve">a new technique for automatically discovering the interfaces of a web application. It is based on a static analysis algorithm. The technique helps generating test cases. --Mirshokraie March-20-12 1:21:28 PM</t>
      </text>
    </comment>
    <comment authorId="0" ref="CN47">
      <text>
        <t xml:space="preserve">They use source code to derive set of interfaces. Later, they use these set of interfaces for generating test cases. 
--Mirshokraie October-17-11 4:31:44 PM</t>
      </text>
    </comment>
    <comment authorId="0" ref="DI47">
      <text>
        <t xml:space="preserve">They measured coverage for four criteria: basic block, branch, command-form, and input-parameter. coverage 
--Mirshokraie October-17-11 4:42:42 PM</t>
      </text>
    </comment>
    <comment authorId="0" ref="DS47">
      <text>
        <t xml:space="preserve">Coverage for four criteria: basic block, branch, command-form, and input-parameter coverage. --Mirshokraie October-17-11 4:44:59 PM</t>
      </text>
    </comment>
    <comment authorId="0" ref="DU47">
      <text>
        <t xml:space="preserve">Coverage for four criteria: basic block, branch, command-form, and input-parameter coverage. --Mirshokraie October-17-11 4:44:59 PM</t>
      </text>
    </comment>
    <comment authorId="0" ref="DX47">
      <text>
        <t xml:space="preserve">They ran spider and wam on subjects, counted the number of interfaces extracted by the two tools, and compared these numbers. They also Manually inspect servlets that showed a
high difference in the number of interfaces discovered by spider
and wam to check the correctness of results.
 --Mirshokraie October-17-11 4:47:52 PM</t>
      </text>
    </comment>
    <comment authorId="0" ref="ES47">
      <text>
        <t xml:space="preserve">RQ1: Does wam discover a higher number of interfaces
than spider?
RQ2: Does testing effectiveness improve when using inter-
face information generated by wam instead of interface
information generated by spider?</t>
      </text>
    </comment>
    <comment authorId="0" ref="FA47">
      <text>
        <t xml:space="preserve">faults in used 3rd party tools/libraries</t>
      </text>
    </comment>
    <comment authorId="0" ref="FD47">
      <text>
        <t xml:space="preserve">"subject selection"</t>
      </text>
    </comment>
    <comment authorId="0" ref="FK47">
      <text>
        <t xml:space="preserve">laboratory experiment</t>
      </text>
    </comment>
    <comment authorId="0" ref="GP47">
      <text>
        <t xml:space="preserve">19402+ 5415+ 10702+ 5529+ 7164+ 4670+ 16089</t>
      </text>
    </comment>
    <comment authorId="0" ref="GR47">
      <text>
        <t xml:space="preserve">2 student developed --Mirshokraie October-17-11 5:06:49 PM</t>
      </text>
    </comment>
    <comment authorId="0" ref="GT47">
      <text>
        <t xml:space="preserve">5 commercial --Mirshokraie October-17-11 5:07:05 PM</t>
      </text>
    </comment>
    <comment authorId="0" ref="F48">
      <text>
        <t xml:space="preserve">-Why BE=x? I thought maybe BD instead?
V: done
- for the "technique used", can we choose BP and BR? 
V: yes, good suggestion
 --Mirshokraie March-10-12 2:13:09 AM</t>
      </text>
    </comment>
    <comment authorId="0" ref="CE48">
      <text>
        <t xml:space="preserve">
   --vgarousi Sun Sep 25 2011 19:13:56 GMT-0600 (Mountain Daylight Time)</t>
      </text>
    </comment>
    <comment authorId="0" ref="CI48">
      <text>
        <t xml:space="preserve">see Section 5.2
"in both client and server-side code"
 --vgarousi Sun Sep 25 2011 19:14:50 GMT-0600 (Mountain Daylight Time)</t>
      </text>
    </comment>
    <comment authorId="0" ref="CN48">
      <text>
        <t xml:space="preserve">JS and HTML code: # of fields, etc
 --vgarousi Sun Sep 25 2011 19:15:21 GMT-0600 (Mountain Daylight Time)</t>
      </text>
    </comment>
    <comment authorId="0" ref="DL48">
      <text>
        <t xml:space="preserve">Testability Measures  
</t>
      </text>
    </comment>
    <comment authorId="0" ref="DO48">
      <text>
        <t xml:space="preserve">Web Application Testability Tool (WATT)
 --vgarousi Sun Sep 25 2011 19:16:40 GMT-0600 (Mountain Daylight Time)</t>
      </text>
    </comment>
    <comment authorId="0" ref="FA48">
      <text>
        <t xml:space="preserve">NONE</t>
      </text>
    </comment>
    <comment authorId="0" ref="FF48">
      <text>
        <t xml:space="preserve">briefly described</t>
      </text>
    </comment>
    <comment authorId="0" ref="FG48">
      <text>
        <t xml:space="preserve">briefly described</t>
      </text>
    </comment>
    <comment authorId="0" ref="FJ48">
      <text>
        <t xml:space="preserve">The forms were taken from a number of well known sites such as Facebook, Yahoo and
YouTube and commercial downloadable applications such
as Softslate, osCommerce and Zen Cart</t>
      </text>
    </comment>
    <comment authorId="0" ref="FK48">
      <text>
        <t xml:space="preserve">laboratory experiment</t>
      </text>
    </comment>
    <comment authorId="0" ref="F49">
      <text>
        <t xml:space="preserve">All good
 --vgarousi Tue Feb 21 2012 22:07:35 GMT-0700 (Mountain Standard Time)</t>
      </text>
    </comment>
    <comment authorId="0" ref="BH49">
      <text>
        <t xml:space="preserve">A comparison study
This paper explores three different strategies to integrate
the use of program coverage-based requirements and usage-based requirements in relation to test suite reduction. 
-Mirshokraie October-18-11 12:09:48 AM</t>
      </text>
    </comment>
    <comment authorId="0" ref="CE49">
      <text>
        <t xml:space="preserve">test suite reduction. 
--Mirshokraie October-18-11 12:13:05 AM</t>
      </text>
    </comment>
    <comment authorId="0" ref="CO49">
      <text>
        <t xml:space="preserve">program coverage-based requirements and
usage-based requirements. --Mirshokraie October-18-11 1:22:50 AM</t>
      </text>
    </comment>
    <comment authorId="0" ref="DD49">
      <text>
        <t xml:space="preserve">Original suite is replayed and the datastore state after
each session is stored. When the corresponding session appears in the reduced suite, the state of the application is
restored to the state before the current session.
 --Mirshokraie October-18-11 2:17:02 AM</t>
      </text>
    </comment>
    <comment authorId="0" ref="DL49">
      <text>
        <t xml:space="preserve">reduced test suite</t>
      </text>
    </comment>
    <comment authorId="0" ref="EM49">
      <text>
        <t xml:space="preserve">modifying the test suite reduction algorithm by Harrold et al. (HGS) [7]and comparing the results
[7]=[A methodology for controlling the size of a test suite]</t>
      </text>
    </comment>
    <comment authorId="0" ref="EN49">
      <text>
        <t xml:space="preserve">Manually seeding faults which are exercised specifically by a reduced suite from a given requirement. 
From the paper: We use the struct oracle comparator, which compares the structure of the output HTML pages.
From the paper: Method-adequacy, the least expensive program coverage adequacy measure, was used in our experiments. --Mirshokraie October-18-11 1:53:11 AM</t>
      </text>
    </comment>
    <comment authorId="0" ref="ES49">
      <text>
        <t xml:space="preserve">Question 1. What is the relation between fault detection effectiveness
of the compared suites that were reduced by program
coverage-based requirements and the number of covered
usage-based requirements?
Question 2. How do the reduced test suite size, program
coverage and fault detection effectiveness of a reduced suite
from the combined test requirements compare to reduced
suites created from using either the traditional program
coverage-based requirement or the customized usage-based
requirement in isolation?
Question 3. How do the reduced suites created by Modified
HGS perform with respect to reduced test suite size, program
coverage and fault detection effectiveness when compared to
HGS program-adequate reduced suites or the reduced suites
from the customized requirements alone?</t>
      </text>
    </comment>
    <comment authorId="0" ref="FA49">
      <text>
        <t xml:space="preserve">even distribution of mutations</t>
      </text>
    </comment>
    <comment authorId="0" ref="FD49">
      <text>
        <t xml:space="preserve">We cannot generalize our current results because we are using only one subject application.
The number of test cases
and their sizes used in our study is also relatively small
when compared to commercially deployed web applications </t>
      </text>
    </comment>
    <comment authorId="0" ref="FK49">
      <text>
        <t xml:space="preserve">they say case study but not in industrial environment (laboratory experiment)</t>
      </text>
    </comment>
    <comment authorId="0" ref="F50">
      <text>
        <t xml:space="preserve">-Can't we choose AX? (invariants as oracles?)
V: you are right. changed
-Can we also choose BK?
V: yes. "Fig. 1. An inferred state-ﬂow graph"
-in addition to TUDU, Coachjezelf has also been used in the evaluation for revealing real-life bugs. TheOrganizer, TaskFreak, Tunnel, and HitList have been used to assess the extent of meaningful
invariants that can be obtained for AJAX applications.  
- --Mirshokraie March-10-12 1:38:35 PM</t>
      </text>
    </comment>
    <comment authorId="0" ref="BD50">
      <text>
        <t xml:space="preserve">called Atusa
 --vgarousi Thu Sep 22 2011 07:41:11 GMT-0600 (Mountain Daylight Time)</t>
      </text>
    </comment>
    <comment authorId="0" ref="BE50">
      <text>
        <t xml:space="preserve">Crawljax is used to buid a test model of the DOM states (State-Flow Graph)
--vgarousi Thu Sep 22 2011 07:41:39 GMT-0600 (Mountain Daylight Time)</t>
      </text>
    </comment>
    <comment authorId="0" ref="BL50">
      <text>
        <t xml:space="preserve">State-Flow Graph of DOM </t>
      </text>
    </comment>
    <comment authorId="0" ref="BN50">
      <text>
        <t xml:space="preserve">Crawljax is used to buid a test model of the DOM states (State-Flow Graph) and the extracted model is used for automated testing</t>
      </text>
    </comment>
    <comment authorId="0" ref="BQ50">
      <text>
        <t xml:space="preserve">they do 3 comprehensive case studies
 --vgarousi Thu Sep 22 2011 07:48:40 GMT-0600 (Mountain Daylight Time)</t>
      </text>
    </comment>
    <comment authorId="0" ref="BX50">
      <text>
        <t xml:space="preserve">Dynamic Verification is done before testing to derive the test model (State-Flow Graph)
--vgarousi Thu Sep 22 2011 07:49:12 GMT-0600 (Mountain Daylight Time)</t>
      </text>
    </comment>
    <comment authorId="0" ref="BY50">
      <text>
        <t xml:space="preserve">they say: 
"the test model is used to execute different paths to cover the state machine in different ways. "
 --vgarousi Thu Sep 22 2011 07:51:28 GMT-0600 (Mountain Daylight Time)</t>
      </text>
    </comment>
    <comment authorId="0" ref="CA50">
      <text>
        <t xml:space="preserve">they automatically create JUnit test code</t>
      </text>
    </comment>
    <comment authorId="0" ref="CC50">
      <text>
        <t xml:space="preserve">invariants as oracles</t>
      </text>
    </comment>
    <comment authorId="0" ref="CQ50">
      <text>
        <t xml:space="preserve">crawled</t>
      </text>
    </comment>
    <comment authorId="0" ref="CS50">
      <text>
        <t xml:space="preserve">Fig. 1. An inferred state-ﬂow graph</t>
      </text>
    </comment>
    <comment authorId="0" ref="DJ50">
      <text>
        <t xml:space="preserve">based on invariants
 --vgarousi Sun Sep 25 2011 19:21:21 GMT-0600 (Mountain Daylight Time)</t>
      </text>
    </comment>
    <comment authorId="0" ref="DK50">
      <text>
        <t xml:space="preserve">JUnit test code is created automatically
  --vgarousi Sun Sep 25 2011 19:21:01 GMT-0600 (Mountain Daylight Time)</t>
      </text>
    </comment>
    <comment authorId="0" ref="DV50">
      <text>
        <t xml:space="preserve">"9.2 Study 2: Finding Real-Life Bugs"</t>
      </text>
    </comment>
    <comment authorId="0" ref="DW50">
      <text>
        <t xml:space="preserve">"10 seeded faults"</t>
      </text>
    </comment>
    <comment authorId="0" ref="EA50">
      <text>
        <t xml:space="preserve">Manual Effort and tool Performance / execution time in minutes</t>
      </text>
    </comment>
    <comment authorId="0" ref="ES50">
      <text>
        <t xml:space="preserve">RQ1 What is the fault revealing capability of ATUSA?
RQ2 How well does ATUSA perform? Is it scalable?
RQ3 What is the automation level when using ATUSA and how much manual effort is involved in the testing process?</t>
      </text>
    </comment>
    <comment authorId="0" ref="FA50">
      <text>
        <t xml:space="preserve">faults in used 3rd party libraries, </t>
      </text>
    </comment>
    <comment authorId="0" ref="FK50">
      <text>
        <t xml:space="preserve">they say case study but not in industrial environment (laboratory experiment)</t>
      </text>
    </comment>
    <comment authorId="0" ref="GM50">
      <text>
        <t xml:space="preserve">part of http://crawljax.com/download/
 --vgarousi Sun Sep 25 2011 19:23:47 GMT-0600 (Mountain Daylight Time)</t>
      </text>
    </comment>
    <comment authorId="0" ref="GP50">
      <text>
        <t xml:space="preserve">12K+11580 Tudo
+10,000 Coachjezelf
</t>
      </text>
    </comment>
    <comment authorId="0" ref="GS50">
      <text>
        <t xml:space="preserve">TheOrganizer
TaskFreak
HitList
TheTunnel
TUDU 12KLOC Java/JSP, 3K forms
 --vgarousi Sun Sep 25 2011 19:28:42 GMT-0600 (Mountain Daylight Time)</t>
      </text>
    </comment>
    <comment authorId="0" ref="GT50">
      <text>
        <t xml:space="preserve">Coachjezelf
 --vgarousi Sun Sep 25 2011 19:29:09 GMT-0600 (Mountain Daylight Time)</t>
      </text>
    </comment>
    <comment authorId="0" ref="AR51">
      <text>
        <t xml:space="preserve">whitebox</t>
      </text>
    </comment>
    <comment authorId="0" ref="BD51">
      <text>
        <t xml:space="preserve">Our approach, called Automatically Testing UI States of
AJAX (ATUSA), is implemented in Java. It is based on the
crawling capabilities of our open-source crawler CRAWLJAX
and provides plugin hooks for testing AJAX applications
at different levels</t>
      </text>
    </comment>
    <comment authorId="0" ref="BF51">
      <text>
        <t xml:space="preserve">Can we accept those as metrics?
We identify AJAX-specific faults that can occur in such states (related to, e.g., DOM
validity, error messages, discoverability, back-button compatibility) as well as DOM-tree invariants that can serve as oracles to detect
such faults.</t>
      </text>
    </comment>
    <comment authorId="0" ref="BG51">
      <text>
        <t xml:space="preserve">see fig.9 and fig.10</t>
      </text>
    </comment>
    <comment authorId="0" ref="BH51">
      <text>
        <t xml:space="preserve">A series of fault models,
A series of generic invariant types,
</t>
      </text>
    </comment>
    <comment authorId="0" ref="BL51">
      <text>
        <t xml:space="preserve">Fig. 1. An inferred state-flow graph</t>
      </text>
    </comment>
    <comment authorId="0" ref="BN51">
      <text>
        <t xml:space="preserve">infer a state-flow
graph for all (client-side) user interface states and use it for automatically testing the WA</t>
      </text>
    </comment>
    <comment authorId="0" ref="BV51">
      <text>
        <t xml:space="preserve">derive a model of the user interface
states of an AJAX application to help automated testing of Ajax applicaitons</t>
      </text>
    </comment>
    <comment authorId="0" ref="BX51">
      <text>
        <t xml:space="preserve">crawling the ajax application</t>
      </text>
    </comment>
    <comment authorId="0" ref="BY51">
      <text>
        <t xml:space="preserve">also describes test suite generation. see section 6</t>
      </text>
    </comment>
    <comment authorId="0" ref="CB51">
      <text>
        <t xml:space="preserve">We provide a framework to
run all the generated tests automatically using a real web
browser and generating success/failure reports</t>
      </text>
    </comment>
    <comment authorId="0" ref="CH51">
      <text>
        <t xml:space="preserve">the process is on client side but since the subject is ajax, the crawling process will run server side code.</t>
      </text>
    </comment>
    <comment authorId="0" ref="CK51">
      <text>
        <t xml:space="preserve">generating junit test cases</t>
      </text>
    </comment>
    <comment authorId="0" ref="CM51">
      <text>
        <t xml:space="preserve">the extracted model can also help system level automated testing.</t>
      </text>
    </comment>
    <comment authorId="0" ref="CN51">
      <text>
        <t xml:space="preserve">client side source code is used</t>
      </text>
    </comment>
    <comment authorId="0" ref="CQ51">
      <text>
        <t xml:space="preserve">invariant based</t>
      </text>
    </comment>
    <comment authorId="0" ref="CS51">
      <text>
        <t xml:space="preserve">infer a state-flow
graph for all (client-side) user interface states</t>
      </text>
    </comment>
    <comment authorId="0" ref="CY51">
      <text>
        <t xml:space="preserve">Our results, however, are based on dynamic analysis rather
than static code analysis; hence, the amount of JAVASCRIPT
code is not the determining factor in our view</t>
      </text>
    </comment>
    <comment authorId="0" ref="DE51">
      <text>
        <t xml:space="preserve">unit test case generation using inferred model</t>
      </text>
    </comment>
    <comment authorId="0" ref="DH51">
      <text>
        <t xml:space="preserve">We
analyzed the data entry points and provided each with
custom input values (15 minutes to evaluate the input
values and provide useful values).</t>
      </text>
    </comment>
    <comment authorId="0" ref="DI51">
      <text>
        <t xml:space="preserve">state-flow
graph for all (client-side) user interface states</t>
      </text>
    </comment>
    <comment authorId="0" ref="DJ51">
      <text>
        <t xml:space="preserve">We propose
to express those as invariants, which we can use as an oracle
to automatically conduct sanity checks in any state.</t>
      </text>
    </comment>
    <comment authorId="0" ref="DK51">
      <text>
        <t xml:space="preserve">junit test cases</t>
      </text>
    </comment>
    <comment authorId="0" ref="DL51">
      <text>
        <t xml:space="preserve">detailed web report that visualizes the failures</t>
      </text>
    </comment>
    <comment authorId="0" ref="DS51">
      <text>
        <t xml:space="preserve">we measure code coverage on the
client as well as the presentation tier of the server</t>
      </text>
    </comment>
    <comment authorId="0" ref="DT51">
      <text>
        <t xml:space="preserve">#of states, entry points. 
An algorithm for deriving a test suite achieving all
transitions coverage of the state-flow graph obtained
during crawling is proposed</t>
      </text>
    </comment>
    <comment authorId="0" ref="DV51">
      <text>
        <t xml:space="preserve">see section 8.4</t>
      </text>
    </comment>
    <comment authorId="0" ref="DW51">
      <text>
        <t xml:space="preserve">we
manually seeded 10 faults</t>
      </text>
    </comment>
    <comment authorId="0" ref="EA51">
      <text>
        <t xml:space="preserve">manual effort
performance(time)</t>
      </text>
    </comment>
    <comment authorId="0" ref="EB51">
      <text>
        <t xml:space="preserve"># of client and server side test cases</t>
      </text>
    </comment>
    <comment authorId="0" ref="ES51">
      <text>
        <t xml:space="preserve">RQ1. What kind of meaningful invariants can be
obtained for AJAX applications and how can they be
expressed in ATUSA?
RQ2. What is the fault revealing capability and
effectiveness of our testing approach?
RQ3. What is the performance of the proposed
approach, and how well does it scale?
RQ4. What is the automation level and how much
manual effort is involved in the testing process?</t>
      </text>
    </comment>
    <comment authorId="0" ref="FA51">
      <text>
        <t xml:space="preserve">"The
choice (faults) is therefore not biased toward the tool but possibly
toward the fault models we have."</t>
      </text>
    </comment>
    <comment authorId="0" ref="FD51">
      <text>
        <t xml:space="preserve">"The small number of examples could,
however, be a threat to external validity. More studies need
to be done to extend the instances of each type."</t>
      </text>
    </comment>
    <comment authorId="0" ref="FV51">
      <text>
        <t xml:space="preserve">- DOM validity
- error messages
- discoverability
- back-button compatibility</t>
      </text>
    </comment>
    <comment authorId="0" ref="FY51">
      <text>
        <t xml:space="preserve">ajax</t>
      </text>
    </comment>
    <comment authorId="0" ref="GC51">
      <text>
        <t xml:space="preserve">this study is independent from server side technology. Ajax can be used with many server side technologies</t>
      </text>
    </comment>
    <comment authorId="0" ref="GL51">
      <text>
        <t xml:space="preserve">this is the name of approach but this approach is also implemented in a tool</t>
      </text>
    </comment>
    <comment authorId="0" ref="GO51">
      <text>
        <t xml:space="preserve">TUDU:</t>
      </text>
    </comment>
    <comment authorId="0" ref="GT51">
      <text>
        <t xml:space="preserve">Coachjezelf</t>
      </text>
    </comment>
    <comment authorId="0" ref="F52">
      <text>
        <t xml:space="preserve">extracted empiricla data
SD:Ok</t>
      </text>
    </comment>
    <comment authorId="0" ref="S52">
      <text>
        <t xml:space="preserve">Presented a technique for automated regression testing of JavaScript applications using source code instrumentation </t>
      </text>
    </comment>
    <comment authorId="0" ref="BC52">
      <text>
        <t xml:space="preserve">1. A technique for automatically converting the inferred invariants into stable assertions,
and injecting them back into the web application for regression testing.
2. A method for detecting JAVASCRIPT invariants across multiple application executions
through on-the-fly JAVASCRIPT instrumentation and tracing of program
variables and DOM manipulations</t>
      </text>
    </comment>
    <comment authorId="0" ref="BD52">
      <text>
        <t xml:space="preserve">JSART</t>
      </text>
    </comment>
    <comment authorId="0" ref="CG52">
      <text>
        <t xml:space="preserve">Javascript</t>
      </text>
    </comment>
    <comment authorId="0" ref="DK52">
      <text>
        <t xml:space="preserve">They insert javascript assertions into code</t>
      </text>
    </comment>
    <comment authorId="0" ref="DW52">
      <text>
        <t xml:space="preserve">Recall is the rate of correct injected faults that the tool finds</t>
      </text>
    </comment>
    <comment authorId="0" ref="DX52">
      <text>
        <t xml:space="preserve">Precision is the rate of injected faults found by the tool that are correct, 
Recall is the rate of correct injected faults that the tool finds</t>
      </text>
    </comment>
    <comment authorId="0" ref="EA52">
      <text>
        <t xml:space="preserve">To evaluate the performance of JSART (RQ3), we measure the extra time needed to execute the application while assertion checks are in place.</t>
      </text>
    </comment>
    <comment authorId="0" ref="EN52">
      <text>
        <t xml:space="preserve">they inject faults into javascript code and then run regression tests</t>
      </text>
    </comment>
    <comment authorId="0" ref="ES52">
      <text>
        <t xml:space="preserve">RQ1 How successful is JSART in generating stable invariant assertions?
RQ2 How effective is our overall regression testing approach in terms of correctly detecting faults?
RQ3 What is the performance overhead of JSART?</t>
      </text>
    </comment>
    <comment authorId="0" ref="FS52">
      <text>
        <t xml:space="preserve">javascript based applications (JQuery, Prototype)</t>
      </text>
    </comment>
    <comment authorId="0" ref="FV52">
      <text>
        <t xml:space="preserve">1. Modifying Conditional Statements
2. Modifying Global/Local Variables
3. Changing Function Parameters/Arguments
4. DOM modifiations</t>
      </text>
    </comment>
    <comment authorId="0" ref="GM52">
      <text>
        <t xml:space="preserve">http://salt.ece.ubc.ca/content/jsart/</t>
      </text>
    </comment>
    <comment authorId="0" ref="GP52">
      <text>
        <t xml:space="preserve">1 SameGame 206 lines 9 funcs 32 lvars 5 gvars 37 cyclcomp
2 Tunnel 334 lines 32 funcs 18 lvars 13 gvars 39 cyclcomp 
3 TicTacToe 239 lines 11 funcs 22 lvars 23 gvars 83 cyclcomp 
4 Symbol 204 lines 20 funcs 28 lvars 16 gvars 32 cyclcomp 
5 ResizeMe 45 lines 5 funcs 4 lvars 7 gvars 2 cyclcomp 
6 GhostBusters 277 lines 27 funcs 75 lvars 4 gvars 52 cyclcomp 
7 Jason 107 lines 8 funcs 4 lvars 8 gvars 6 cyclcomp 
8 Sofa 102 lines 22 funcs 2 lvars 1 gvars 5 cyclcomp
9 TuduList 2767 lines 229 funcs 199 lvars 31 gvars 28 cyclcomp </t>
      </text>
    </comment>
    <comment authorId="0" ref="F53">
      <text>
        <t xml:space="preserve">VG: added BH=x
added DH
SD: Ok</t>
      </text>
    </comment>
    <comment authorId="0" ref="W53">
      <text>
        <t xml:space="preserve">poor evaluation</t>
      </text>
    </comment>
    <comment authorId="0" ref="BE53">
      <text>
        <t xml:space="preserve">see fig 1
navigation model, data model</t>
      </text>
    </comment>
    <comment authorId="0" ref="BF53">
      <text>
        <t xml:space="preserve">we present guidance to testers on metrics to determine whether creating user-privilege-speciﬁc test cases will be advantageous.</t>
      </text>
    </comment>
    <comment authorId="0" ref="BG53">
      <text>
        <t xml:space="preserve">Figure 1: The Test Case Generation Process</t>
      </text>
    </comment>
    <comment authorId="0" ref="BJ53">
      <text>
        <t xml:space="preserve">see fig 1
navigation model, data model</t>
      </text>
    </comment>
    <comment authorId="0" ref="BN53">
      <text>
        <t xml:space="preserve">Extracts user-privilege-specific navigation models from user sessions and uses for automated test case generation</t>
      </text>
    </comment>
    <comment authorId="0" ref="BY53">
      <text>
        <t xml:space="preserve">In this paper, we base the usage-based models on the Sant et al. approach to generating test cases from a statistical  model of user sessions [2]. The navigation model</t>
      </text>
    </comment>
    <comment authorId="0" ref="CE53">
      <text>
        <t xml:space="preserve">test case reduction</t>
      </text>
    </comment>
    <comment authorId="0" ref="CR53">
      <text>
        <t xml:space="preserve">user session logs</t>
      </text>
    </comment>
    <comment authorId="0" ref="DD53">
      <text>
        <t xml:space="preserve">user session based testing is done by  replaying user session logs</t>
      </text>
    </comment>
    <comment authorId="0" ref="DF53">
      <text>
        <t xml:space="preserve">Using user privileges from user session logs to minimize the number of test cases.</t>
      </text>
    </comment>
    <comment authorId="0" ref="DH53">
      <text>
        <t xml:space="preserve">abstract test cases</t>
      </text>
    </comment>
    <comment authorId="0" ref="DL53">
      <text>
        <t xml:space="preserve">they categorize user sessions
by access privilege into separate sets of user sessions to
use as input to the test-case generation process</t>
      </text>
    </comment>
    <comment authorId="0" ref="DS53">
      <text>
        <t xml:space="preserve">"we report line coverage..."
the coverage with the reduced number of test cases</t>
      </text>
    </comment>
    <comment authorId="0" ref="ES53">
      <text>
        <t xml:space="preserve">1-Can we generate a smaller number of specialized test cases to achieve similar usage patterns to the userprivilege-grouped user sessions? 
2-Since the set of user sessions used as input to create the navigation model is smaller and likely less diverse, does the testing process still create abstract test cases that are different from any in the original user sessions?</t>
      </text>
    </comment>
    <comment authorId="0" ref="FA53">
      <text>
        <t xml:space="preserve">user sessions were automatically parsed from the access
log and automatically classiﬁed. Some user sessions may
be incorrectly generated or classiﬁed</t>
      </text>
    </comment>
    <comment authorId="0" ref="FD53">
      <text>
        <t xml:space="preserve">study on 8 sets of user sessions from
four small to medium-sized publicly deployed applications.
A study with additional sets of user sessions and additional
user privilege types or usage patterns and on larger applica-
tions may be necessary to generalize the results</t>
      </text>
    </comment>
    <comment authorId="0" ref="GP53">
      <text>
        <t xml:space="preserve">Book : 5279 line 11 class
CPM : 7430 line 76 class
Logic : 10704 line 106 class
Logicv2 16491 line 135 class
DSpace 29430 line 291 class</t>
      </text>
    </comment>
    <comment authorId="0" ref="GS53">
      <text>
        <t xml:space="preserve">Book and DSpace is open source. Others are used in Universities.</t>
      </text>
    </comment>
    <comment authorId="0" ref="F54">
      <text>
        <t xml:space="preserve">The research facet could be AL: 3-Evaluation Research, since the evaluation is quite comprehensive.
Since fault seeding is done, CG=x, CI=""
They say: ""we modified the Perl scripts that generated web pages and we added a server-side...", thus "Web-server-tier Web Technology" = Perl
And they say "Javascript event handlers" ni p.16, so Client-tier Web Technology = Javascript 
 --vgarousi Sat Feb 25 2012 15:26:28 GMT-0700 (Mountain Standard Time)</t>
      </text>
    </comment>
    <comment authorId="0" ref="BC54">
      <text>
        <t xml:space="preserve">From the paper: We have presented a new approach for testing web applications and several techniques for implementing that approach. These new techniques differ from existing techniques in that they leverage captured user behavior to generate test cases. 
--Mirshokraie October-18-11 11:23:20 PM</t>
      </text>
    </comment>
    <comment authorId="0" ref="BV54">
      <text>
        <t xml:space="preserve">They present several techniques for using user session data gathered as users operate web applications to help test those applications from
a functional standpoint. --Mirshokraie October-18-11 11:25:02 PM</t>
      </text>
    </comment>
    <comment authorId="0" ref="BY54">
      <text>
        <t xml:space="preserve">Also, title of Section 3.3 "Integrating User Session and White Box Techniques"
--vgarousi Sat Feb 25 2012 15:27:33 GMT-0700 (Mountain Standard Time)
They propose a testing approach which uses data captured during user sessions to create test cases, potentially reducing the effort involved when test engineers
are required to generate test cases. --Mirshokraie October-18-11 11:29:45 PM</t>
      </text>
    </comment>
    <comment authorId="0" ref="CN54">
      <text>
        <t xml:space="preserve">From the paper: Our results show that user session data can be used to produce test suites more effective overall than those produced by the white-box techniques considered; however,
the faults detected by the two classes of techniques differ, suggesting that the techniques are complementary. --Mirshokraie October-19-11 12:00:42 AM</t>
      </text>
    </comment>
    <comment authorId="0" ref="CY54">
      <text>
        <t xml:space="preserve">for the white-box hybrid approach. 
--Mirshokraie October-19-11 12:05:34 AM</t>
      </text>
    </comment>
    <comment authorId="0" ref="DI54">
      <text>
        <t xml:space="preserve">for the hybrid approaches. --Mirshokraie October-19-11 12:09:52 AM</t>
      </text>
    </comment>
    <comment authorId="0" ref="DS54">
      <text>
        <t xml:space="preserve">percentage of functions and basic blocks. --Mirshokraie October-19-11 12:16:21 AM</t>
      </text>
    </comment>
    <comment authorId="0" ref="EB54">
      <text>
        <t xml:space="preserve"># of TCs in Table 2
Table 2: Test suite characterization.</t>
      </text>
    </comment>
    <comment authorId="0" ref="EM54">
      <text>
        <t xml:space="preserve">[30] F. Ricca and P. Tonella. Analysis and testing of web applications. In Proceedings of the
International Conference on Software Engineering, pages 25–34, May 2001.</t>
      </text>
    </comment>
    <comment authorId="0" ref="EN54">
      <text>
        <t xml:space="preserve">Fault seeding: activating each of the seeded faults individually and executed each test case, comparing relevant outputs to determine whether that test case revealed that fault. --Mirshokraie March-20-12 1:27:59 PM</t>
      </text>
    </comment>
    <comment authorId="0" ref="ES54">
      <text>
        <t xml:space="preserve">RQ1. How effective are the techniques? This question concerns the performance of the WB, US, and HYB techniques, in terms of the coverage and fault-detection they provide.
RQ2. Does technique appropriateness vary with fault type? This question concerns the degree of similarity between the techniques in terms of the fault detection capabilities they provide.
RQ3. What relationship exists between the number of user sessions and the effectiveness of the test suites generated based on those sessions’ interactions? This question concerns the possibility of manipulating the cost-beneﬁts of user-session based test suites through session selection.</t>
      </text>
    </comment>
    <comment authorId="0" ref="FA54">
      <text>
        <t xml:space="preserve">not consdiering  all important metrics, e.g., for cost effciveness</t>
      </text>
    </comment>
    <comment authorId="0" ref="FD54">
      <text>
        <t xml:space="preserve">"the resulting web site included just a subset of the technologies used in the field,
and our results can be claimed to generalize only to web applications using similar technologies"</t>
      </text>
    </comment>
    <comment authorId="0" ref="FJ54">
      <text>
        <t xml:space="preserve">graduate students of injected faults to open source subject application</t>
      </text>
    </comment>
    <comment authorId="0" ref="FK54">
      <text>
        <t xml:space="preserve">laboratory experiment</t>
      </text>
    </comment>
    <comment authorId="0" ref="FV54">
      <text>
        <t xml:space="preserve">ADAPTED FROM [23] A. Nikora and J. Munson. Software evolution and the fault process. In Proceedings of the
Twenty Third Annual Software Engineering Workshop, 1998.
Scripting faults. This includes faults associated with variables, such as deﬁnitions, deletions, or changes in values, and faults associated with control ﬂow, such as addition of new blocks, redeﬁnitions of execution conditions, removal of blocks, changes in execution order, and addition or removal of function calls.
Forms faults. This includes addition, deletion, or modiﬁcation of a forms’ name or predeﬁned values for a name. In our target site, such faults were seeded in the sections of the scripts that dynamically generated the html code.
Database query faults. This consists of the modiﬁcation of a query expression, which could affect type of operation, table to access, ﬁelds within a table, or search key or record values.
</t>
      </text>
    </comment>
    <comment authorId="0" ref="F55">
      <text>
        <t xml:space="preserve">agree with selected items.
 --Mirshokraie March-11-12 1:10:33 AM</t>
      </text>
    </comment>
    <comment authorId="0" ref="BC55">
      <text>
        <t xml:space="preserve">model checking (verification) using Alloy, 
 --vgarousi Sun Sep 25 2011 19:54:51 GMT-0600 (Mountain Daylight Time)</t>
      </text>
    </comment>
    <comment authorId="0" ref="BE55">
      <text>
        <t xml:space="preserve">a new model called Abstract Description of Interaction (ADI)
 --vgarousi Sun Sep 25 2011 19:30:18 GMT-0600 (Mountain Daylight Time)</t>
      </text>
    </comment>
    <comment authorId="0" ref="BM55">
      <text>
        <t xml:space="preserve">a new model called Abstract Description of Interaction (ADI)
 --vgarousi Sun Sep 25 2011 19:30:18 GMT-0600 (Mountain Daylight Time)</t>
      </text>
    </comment>
    <comment authorId="0" ref="BN55">
      <text>
        <t xml:space="preserve">Platform Independent Model of Web applications is refined to create a new model called Abstract Description of Interaction (ADI). An ADI is a UML class diagram annotated
with OCL statements to represent an abstraction of the interaction between the thin client and the business logic. Secondly, the ADI model
is automatically transferred to an Alloy model and analysed using the Alloy Analyser.</t>
      </text>
    </comment>
    <comment authorId="0" ref="CC55">
      <text>
        <t xml:space="preserve">Oracle in form of OCL rules
 --vgarousi Sun Sep 25 2011 19:55:47 GMT-0600 (Mountain Daylight Time)</t>
      </text>
    </comment>
    <comment authorId="0" ref="CP55">
      <text>
        <t xml:space="preserve">Abstract Description of Interaction (ADI), a type of class diagram
 --vgarousi Sun Sep 25 2011 19:57:29 GMT-0600 (Mountain Daylight Time)</t>
      </text>
    </comment>
    <comment authorId="0" ref="CQ55">
      <text>
        <t xml:space="preserve">in form of OCL
 --vgarousi Sun Sep 25 2011 19:57:52 GMT-0600 (Mountain Daylight Time)</t>
      </text>
    </comment>
    <comment authorId="0" ref="DN55">
      <text>
        <t xml:space="preserve">creations of models
 --vgarousi Sun Sep 25 2011 19:58:13 GMT-0600 (Mountain Daylight Time)</t>
      </text>
    </comment>
    <comment authorId="0" ref="DO55">
      <text>
        <t xml:space="preserve">running models using Alloy
 --vgarousi Sun Sep 25 2011 19:58:20 GMT-0600 (Mountain Daylight Time)</t>
      </text>
    </comment>
    <comment authorId="0" ref="F56">
      <text>
        <t xml:space="preserve">1)BX: can add statistical/probablistic due to UMM.in addition to checking BW
done
2)CE: provides Perl scripts for analysis. it is semimanual 
V: checked CE
3)inffered model: UMM
V: BL=x
4) DC or DB. server tech is NA
now, DB=x, DC=''
5) DH: www.seas.smu.edu
fixed
--aysubetincan Wed Feb 22 2012 14:04:06 GMT+0200 (GTB Standard Time)</t>
      </text>
    </comment>
    <comment authorId="0" ref="BE56">
      <text>
        <t xml:space="preserve">statistical testing models: actual usage scenarios and related frequencies
 --vgarousi Sun Sep 25 2011 20:01:28 GMT-0600 (Mountain Daylight Time)</t>
      </text>
    </comment>
    <comment authorId="0" ref="BM56">
      <text>
        <t xml:space="preserve">statistical testing models: actual usage scenarios and related frequencies</t>
      </text>
    </comment>
    <comment authorId="0" ref="BN56">
      <text>
        <t xml:space="preserve">The usage information is used to build models for
statistical Web testing. These models used for test case construction,
selection, and execution.</t>
      </text>
    </comment>
    <comment authorId="0" ref="CE56">
      <text>
        <t xml:space="preserve">reliability and statistical testing
 --vgarousi Sun Sep 25 2011 20:06:17 GMT-0600 (Mountain Daylight Time)</t>
      </text>
    </comment>
    <comment authorId="0" ref="CP56">
      <text>
        <t xml:space="preserve">Test cases generated by following state transitions in Unified Markov Models
 --vgarousi Sun Sep 25 2011 20:03:14 GMT-0600 (Mountain Daylight Time)</t>
      </text>
    </comment>
    <comment authorId="0" ref="CR56">
      <text>
        <t xml:space="preserve">Unified Markov Models are generated from logs
 --vgarousi Sun Sep 25 2011 20:03:22 GMT-0600 (Mountain Daylight Time)</t>
      </text>
    </comment>
    <comment authorId="0" ref="CT56">
      <text>
        <t xml:space="preserve">Unified Markov Models UMM
 --vgarousi Sun Feb 26 2012 18:04:37 GMT-0700 (Mountain Standard Time)</t>
      </text>
    </comment>
    <comment authorId="0" ref="DE56">
      <text>
        <t xml:space="preserve">from state-charts  built manually
 --vgarousi Mon Jan 23 2012 10:38:03 GMT-0700 (Mountain Standard Time)</t>
      </text>
    </comment>
    <comment authorId="0" ref="DI56">
      <text>
        <t xml:space="preserve">paths (sequence of web pages)
 --vgarousi Sun Sep 25 2011 20:07:24 GMT-0600 (Mountain Daylight Time)</t>
      </text>
    </comment>
    <comment authorId="0" ref="DX56">
      <text>
        <t xml:space="preserve">"Test effectiveness can be measured by the reliability change (or growth) through the testing process. This reliability change can be evaluated by various software reliability growth models (SRGMs)."</t>
      </text>
    </comment>
    <comment authorId="0" ref="EH56">
      <text>
        <t xml:space="preserve">reliability analysis of an actual website: www.seas.smu.edu
</t>
      </text>
    </comment>
    <comment authorId="0" ref="FA56">
      <text>
        <t xml:space="preserve">NONE</t>
      </text>
    </comment>
    <comment authorId="0" ref="FK56">
      <text>
        <t xml:space="preserve">they say case study but not in industrial environment (laboratory experiment)</t>
      </text>
    </comment>
    <comment authorId="0" ref="FO56">
      <text>
        <t xml:space="preserve">see the error types in Table 2
 --vgarousi Sun Sep 25 2011 20:08:27 GMT-0600 (Mountain Daylight Time)</t>
      </text>
    </comment>
    <comment authorId="0" ref="FV56">
      <text>
        <t xml:space="preserve">See TABLE 2-Error Types
permission denied
no such file or directory
stale NFS file handle
client denied by server configuration
file does not exist
invalid method in request
invalid URL in request connection</t>
      </text>
    </comment>
    <comment authorId="0" ref="F57">
      <text>
        <t xml:space="preserve">I added the model name in AF
They also derive test inputs from their statecharts, so should AT/Test-case Design (Criteria-based)=x too?
Given that BL=X, Why do we have BM=X?
It seems that they have 2 SUT: Base Converter, and A Number Guessing Game
 --vgarousi Sat Feb 25 2012 15:35:11 GMT-0700 (Mountain Standard Time)</t>
      </text>
    </comment>
    <comment authorId="0" ref="G57">
      <text>
        <t xml:space="preserve">BM=X? 2 inputs:spec and   model. models from statechart but specs are not.
 --aysubetincan Mon Mar 26 2012 12:12:15 GMT+0300 (GTB Daylight Time)</t>
      </text>
    </comment>
    <comment authorId="0" ref="BE57">
      <text>
        <t xml:space="preserve">Browser Navigation Model (Section 4)
 --vgarousi Sat Feb 25 2012 15:34:46 GMT-0700 (Mountain Standard Time)</t>
      </text>
    </comment>
    <comment authorId="0" ref="BJ57">
      <text>
        <t xml:space="preserve">Browser Navigation Model (Section 4)
 --vgarousi Sat Feb 25 2012 15:34:46 GMT-0700 (Mountain Standard Time)</t>
      </text>
    </comment>
    <comment authorId="0" ref="BN57">
      <text>
        <t xml:space="preserve">specifies the WA with extended state machines uses it for model based testing</t>
      </text>
    </comment>
    <comment authorId="0" ref="CP57">
      <text>
        <t xml:space="preserve">spec </t>
      </text>
    </comment>
    <comment authorId="0" ref="GL57">
      <text>
        <t xml:space="preserve">They use (do not present) an existing  test tool called G∀ST
(in abstract). --vgarousi Sat Feb 25 2012 15:41:17 GMT-0700 (Mountain Standard Time)</t>
      </text>
    </comment>
    <comment authorId="0" ref="F58">
      <text>
        <t xml:space="preserve">1) SUT: workforce management WFM
done
2)NModel is their tool but presented in [10] not here
done
--aysubetincan Wed Feb 22 2012 14:53:08 GMT+0200 (GTB Standard Time)</t>
      </text>
    </comment>
    <comment authorId="0" ref="BE58">
      <text>
        <t xml:space="preserve">Model-Based Testing
 --vgarousi Sun Sep 25 2011 20:10:14 GMT-0600 (Mountain Daylight Time)</t>
      </text>
    </comment>
    <comment authorId="0" ref="BJ58">
      <text>
        <t xml:space="preserve">Scenario model program constrains all possible runs to some interesting ...</t>
      </text>
    </comment>
    <comment authorId="0" ref="BN58">
      <text>
        <t xml:space="preserve">model is written by user and used for model based testing</t>
      </text>
    </comment>
    <comment authorId="0" ref="CB58">
      <text>
        <t xml:space="preserve">a "test harness" is built
 --vgarousi Sun Sep 25 2011 20:15:48 GMT-0600 (Mountain Daylight Time)</t>
      </text>
    </comment>
    <comment authorId="0" ref="GL58">
      <text>
        <t xml:space="preserve">They use NModel 
--vgarousi Sun Feb 26 2012 18:09:26 GMT-0700 (Mountain Standard Time)</t>
      </text>
    </comment>
    <comment authorId="0" ref="GT58">
      <text>
        <t xml:space="preserve">WorkForce Management (WFM), by Reach-U ltd
 --vgarousi Sun Sep 25 2011 20:13:19 GMT-0600 (Mountain Daylight Time)</t>
      </text>
    </comment>
    <comment authorId="0" ref="F59">
      <text>
        <t xml:space="preserve">Agree
--vgarousi Sat Feb 25 2012 15:44:28 GMT-0700 (Mountain Standard Time)</t>
      </text>
    </comment>
    <comment authorId="0" ref="G59">
      <text>
        <t xml:space="preserve">Can we consider fault severity models as test models? I think test model is a different concept.
With respect to excluding this paper you may want to talk to Ali.
V: you are right. Let's keep things as they are.
 --Mirshokraie March-20-12 1:32:17 PM</t>
      </text>
    </comment>
    <comment authorId="0" ref="BH59">
      <text>
        <t xml:space="preserve">They present two models of fault
severity, human annotation based and automated fault severity predictor, that outperform humans in terms of accurately
predicting the average severity of web application faults. These models can substitute or reinforce humans by prioritizing faults
encountered in web application development and testing. --Mirshokraie October-20-11 12:17:45 AM</t>
      </text>
    </comment>
    <comment authorId="0" ref="BV59">
      <text>
        <t xml:space="preserve">In fact their model can help developers
to focus on bugs that consumers care about.
 --Mirshokraie October-20-11 12:27:31 AM</t>
      </text>
    </comment>
    <comment authorId="0" ref="CU59">
      <text>
        <t xml:space="preserve">There is no test artifact...human annotation based model fault relies on human annotators to label each fault with its respective features. The automated fault severity predictor relies on the same decision tree architecture as the human-dependent model, but approximates the features labels automatically by examining HTML code. --Mirshokraie October-20-11 12:34:24 AM</t>
      </text>
    </comment>
    <comment authorId="0" ref="DF59">
      <text>
        <t xml:space="preserve">N/A
no test artifact to derive... they model fault severity. Consumer-perceived severity is calculated by a manually constructed decision tree that they engineered through an analysis of 300 of the
400 real-world faults chosen at random.
--Mirshokraie October-20-11 12:40:49 AM</t>
      </text>
    </comment>
    <comment authorId="0" ref="DX59">
      <text>
        <t xml:space="preserve">They measure savings associated with their automated tool in terms of the number
of non-severe faults. 
For the human annotation based model, they compare the model’s performance to that of subjects from their human study. They evaluate the performance of their model by performing some statistical analysis on the data such as calculating Spearman’s Ranking Correlation Coefficient, ANOVA, ...
  --Mirshokraie October-20-11 12:49:52 AM</t>
      </text>
    </comment>
    <comment authorId="0" ref="FP59">
      <text>
        <t xml:space="preserve">These fault models can be used in dynamic or static web sites. --Mirshokraie October-20-11 1:06:55 AM</t>
      </text>
    </comment>
    <comment authorId="0" ref="FV59">
      <text>
        <t xml:space="preserve">Arithmetic Calculation Error
Blank Page
404 Error
Cosmetic
Language Error
CSS Error
Code on the Screen
Error Message / Other Error
Form 
Error Missing Information
Wrong Page / No Redirect
Authentication
Permission
Session
Search
Database
Failed Upload
Missing Image</t>
      </text>
    </comment>
    <comment authorId="0" ref="FW59">
      <text>
        <t xml:space="preserve">The automated tool examines html outputs. --Mirshokraie October-20-11 1:10:56 AM</t>
      </text>
    </comment>
    <comment authorId="0" ref="F60">
      <text>
        <t xml:space="preserve">I put the model names in AF (component interaction model, and Web application transition graph). Are they correct?
BC-BE: Why only Integration testing? Could also be system testing?
BM: Could you also please put in notes area why "Other" Source of information needed to derive Test artifacts?
--vgarousi Sat Feb 25 2012 15:57:14 GMT-0700 (Mountain Standard Time)</t>
      </text>
    </comment>
    <comment authorId="0" ref="BE60">
      <text>
        <t xml:space="preserve">component interaction model, Web application transition graph
 --vgarousi Sat Feb 25 2012 15:57:08 GMT-0700 (Mountain Standard Time)</t>
      </text>
    </comment>
    <comment authorId="0" ref="BJ60">
      <text>
        <t xml:space="preserve">component interaction model, Web application transition graph
 --vgarousi Sat Feb 25 2012 15:57:08 GMT-0700 (Mountain Standard Time)</t>
      </text>
    </comment>
    <comment authorId="0" ref="BN60">
      <text>
        <t xml:space="preserve">The primary result is a
new theoretical model that captures dynamic aspects of the
presentation layer of web applications</t>
      </text>
    </comment>
    <comment authorId="0" ref="CS60">
      <text>
        <t xml:space="preserve">transitions:control flow between pages/files  (GTB Daylight Time)</t>
      </text>
    </comment>
    <comment authorId="0" ref="DT60">
      <text>
        <t xml:space="preserve">three:
Prime path coverage was developed as a way to cover complete paths in graphs, while avoiding problems with inﬁnite
Invalid access coverage
Invalid path coverage</t>
      </text>
    </comment>
    <comment authorId="0" ref="F61">
      <text>
        <t xml:space="preserve">mutation: " introducing errors into the benchmark programs at random."
--aysubetincan Thu Feb 23 2012 18:27:43 GMT+0200 (Turkey Standard Time)</t>
      </text>
    </comment>
    <comment authorId="0" ref="BD61">
      <text>
        <t xml:space="preserve">Static analysis tool that is capable of reasoning about the flow of control and data in JavaScript web applications.
--Mirshokraie October-20-11 11:54:29 PM</t>
      </text>
    </comment>
    <comment authorId="0" ref="BE61">
      <text>
        <t xml:space="preserve">Modeling both the DOM model of the HTML page and browser API. --Mirshokraie October-20-11 11:52:56 PM</t>
      </text>
    </comment>
    <comment authorId="0" ref="BL61">
      <text>
        <t xml:space="preserve">Modeling both the DOM model of the HTML page and browser API. --Mirshokraie October-20-11 11:52:56 PM</t>
      </text>
    </comment>
    <comment authorId="0" ref="CE61">
      <text>
        <t xml:space="preserve"> capable
of reasoning precisely about the control flow and data flow in
JavaScript applications that run in a browser environment. The analysis is capable of (1) showing absence of common programming errors (2) help detecting potential errors,
such as misspelled property names (3) precise computed call
graphs(4) precise computed types (5) identifying dead code and unreachable functions. These
formation can give a foundation for providing better tool
support for JavaScript web application developers.
--Mirshokraie October-21-11 12:11:20 AM</t>
      </text>
    </comment>
    <comment authorId="0" ref="CP61">
      <text>
        <t xml:space="preserve">control and data flow graph, modeling html DOM and events --Mirshokraie October-21-11 12:51:30 AM</t>
      </text>
    </comment>
    <comment authorId="0" ref="CX61">
      <text>
        <t xml:space="preserve">from HTML element object hierarchy and the event-driven execution model. 
--Mirshokraie October-21-11 1:26:09 AM</t>
      </text>
    </comment>
    <comment authorId="0" ref="DE61">
      <text>
        <t xml:space="preserve">from HTML element object hierarchy and the event-driven execution model. 
--Mirshokraie October-21-11 1:26:09 AM</t>
      </text>
    </comment>
    <comment authorId="0" ref="DI61">
      <text>
        <t xml:space="preserve">flow of control and
data --Mirshokraie October-21-11 1:28:49 AM</t>
      </text>
    </comment>
    <comment authorId="0" ref="DV61">
      <text>
        <t xml:space="preserve">1) analysis precision: to what extent can the analysis show the absence of errors in real programs
2) help in finding errors: introducing errors into the benchmark programs at random. Run the analysis repeatedly and manually inspect
whether each spelling error results in a warning by the analysis tool and how "useful" this warning is.
3) call graph precision: calculating the ratio of call sites with a single invocation target compared to the total
number of call sites.
4) inferred types precision: calculating the average number of different types for all property read operations.
5) identifying dead or unreachable code
--Mirshokraie October-21-11 1:34:23 AM</t>
      </text>
    </comment>
    <comment authorId="0" ref="EA61">
      <text>
        <t xml:space="preserve">analysis time</t>
      </text>
    </comment>
    <comment authorId="0" ref="ES61">
      <text>
        <t xml:space="preserve">Q1 To what extent can the analysis show the absence of errors in real programs? 
Q2 For programs with errors (again, of the kinds discussed in Section 1), can the analysis help the programmer ﬁnd the errors? 
Q3 How precise is the call graph inferred by the analysis?
Q4 how precise are the inferred types?
Q5 Does the analysis succeed in identifying dead or unreachable code?</t>
      </text>
    </comment>
    <comment authorId="0" ref="FV61">
      <text>
        <t xml:space="preserve">For JSP appps, 
We focus on general errors that can be detected without the use of application-speciﬁc code annotations. 
Examples of such errors are (1) dead or unreachable code, which often indicates unintended behavior
(2) calls to built-in functions with a wrong number of arguments or with arguments of unexpected types, and 
(3) uses of the special JavaScript value undefined (which appears when attempting to read a missing object property) at dereferences or at function calls</t>
      </text>
    </comment>
    <comment authorId="0" ref="GB61">
      <text>
        <t xml:space="preserve">Implemented in Java and
uses the JavaScript parser from the Mozilla Rhino project. --Mirshokraie October-21-11 1:47:55 AM</t>
      </text>
    </comment>
    <comment authorId="0" ref="GP61">
      <text>
        <t xml:space="preserve">between 100 and 3000
53*(AVG, 100, 3000)</t>
      </text>
    </comment>
    <comment authorId="0" ref="BE62">
      <text>
        <t xml:space="preserve">modeling Web applications by the means of combination
of Web functional modules and the browser’s interactions</t>
      </text>
    </comment>
    <comment authorId="0" ref="BJ62">
      <text>
        <t xml:space="preserve">state machines</t>
      </text>
    </comment>
    <comment authorId="0" ref="BN62">
      <text>
        <t xml:space="preserve">modeling Web applications by the means of combination
of Web functional modules and the browser’s interactions</t>
      </text>
    </comment>
    <comment authorId="0" ref="BO62">
      <text>
        <t xml:space="preserve">No case studies or empirical evaluation</t>
      </text>
    </comment>
    <comment authorId="0" ref="BV62">
      <text>
        <t xml:space="preserve">generation of test sequence from extracted model for helping functional testing.</t>
      </text>
    </comment>
    <comment authorId="0" ref="CG62">
      <text>
        <t xml:space="preserve">generating model from browser interactions (links, buttons)</t>
      </text>
    </comment>
    <comment authorId="0" ref="CK62">
      <text>
        <t xml:space="preserve">modeling the navigation will help any level of testing</t>
      </text>
    </comment>
    <comment authorId="0" ref="CT62">
      <text>
        <t xml:space="preserve">the model is not created automatically because this study is defining a way for creating models. Appliers can create models automatically or manually.</t>
      </text>
    </comment>
    <comment authorId="0" ref="DL62">
      <text>
        <t xml:space="preserve">Navigation model.</t>
      </text>
    </comment>
    <comment authorId="0" ref="DP62">
      <text>
        <t xml:space="preserve">N/A</t>
      </text>
    </comment>
    <comment authorId="0" ref="DT62">
      <text>
        <t xml:space="preserve">FSM state and transition coverage</t>
      </text>
    </comment>
    <comment authorId="0" ref="FZ62">
      <text>
        <t xml:space="preserve">can be any type of web application</t>
      </text>
    </comment>
    <comment authorId="0" ref="F63">
      <text>
        <t xml:space="preserve">Type of Testing Activity: generating test inputs through perturbing regular expressions, in my opinion, would be under AT instead of AY
Type of the Evaluation Method: From the nice discussion you have put in CI, I think we should also  heck CG and CH
--vgarousi Sun Feb 26 2012 10:59:25 GMT-0700 (Mountain Standard Time)</t>
      </text>
    </comment>
    <comment authorId="0" ref="BC63">
      <text>
        <t xml:space="preserve">an approach, called PIUIVT, to improve the
effectiveness of UIV (user input validation) testing. It
combines the automation of vulnerability scanners of web applications
and the flexibility of proxy-based UIV testing tools. 
--Mirshokraie November-12-11 4:23:03 PM</t>
      </text>
    </comment>
    <comment authorId="0" ref="BV63">
      <text>
        <t xml:space="preserve">vulnerability testing
 --vgarousi Sun Feb 26 2012 10:58:42 GMT-0700 (Mountain Standard Time)</t>
      </text>
    </comment>
    <comment authorId="0" ref="BY63">
      <text>
        <t xml:space="preserve">generating test inputs through perturbing regular expressions
automatically. In order to assess the test result as pass or fail the behavior of a web application is classified into three types: defensive, insensitive, and crashing-- (no Oracle has been used).  --Mirshokraie March-20-12 1:53:56 PM</t>
      </text>
    </comment>
    <comment authorId="0" ref="CK63">
      <text>
        <t xml:space="preserve">user inpur validation 
--Mirshokraie November-12-11 4:43:34 PM</t>
      </text>
    </comment>
    <comment authorId="0" ref="CU63">
      <text>
        <t xml:space="preserve">perturbing regular expressions</t>
      </text>
    </comment>
    <comment authorId="0" ref="CV63">
      <text>
        <t xml:space="preserve">mapping the input type to a regular expression that defines valid inputs for this type, or constructing a regular expression to define the acceptable input domain of this input field. 
--Mirshokraie November-12-11 4:52:10 PM</t>
      </text>
    </comment>
    <comment authorId="0" ref="CZ63">
      <text>
        <t xml:space="preserve">for identifying input type
--Mirshokraie November-12-11 4:51:42 PM</t>
      </text>
    </comment>
    <comment authorId="0" ref="DV63">
      <text>
        <t xml:space="preserve">(i) Assessing the effectiveness of the approach in terms of the ratios of detected vulnerabilities by comparing PIUIVT with web application scanners (Wikto and Paros). (ii) Analyzing generated test inputs
to explain why UIV vulnerabilities can be detected by these test
inputs. Note: vulnerabilities are seeded by the authors, detected vulnerabilities are
checked manually to see whether the test results are correct. (iii) Applying different similarity comparison approaches to HTML pages, comparing LCTS with four other approaches (Word Diff, Line Diff, Char Diff, Char Comp).
--Mirshokraie November-12-11 4:57:54 PM</t>
      </text>
    </comment>
    <comment authorId="0" ref="FA63">
      <text>
        <t xml:space="preserve">faults in the used third party libraries</t>
      </text>
    </comment>
    <comment authorId="0" ref="FD63">
      <text>
        <t xml:space="preserve">"The threats to external validity primarily include the degree to
which the subject programs are representative of true practice. Our
subjects are from various sources. These threats could be further
reduced by experiments on more subjects and third-party tools."</t>
      </text>
    </comment>
    <comment authorId="0" ref="FK63">
      <text>
        <t xml:space="preserve">laboratory experiment</t>
      </text>
    </comment>
    <comment authorId="0" ref="GP63">
      <text>
        <t xml:space="preserve">excluding Java code embedded in JSP files</t>
      </text>
    </comment>
    <comment authorId="0" ref="S64">
      <text>
        <t xml:space="preserve">http://www.slideshare.net/exKAZUu/pogen-a-test-code-generator-based-on-template-variable-coverage-in-graybox-integration-testing-for-web-applications</t>
      </text>
    </comment>
    <comment authorId="0" ref="BD64">
      <text>
        <t xml:space="preserve">Tool for generating skeleton test code</t>
      </text>
    </comment>
    <comment authorId="0" ref="BF64">
      <text>
        <t xml:space="preserve">new coverage for html templates</t>
      </text>
    </comment>
    <comment authorId="0" ref="BG64">
      <text>
        <t xml:space="preserve">testing process using POGen</t>
      </text>
    </comment>
    <comment authorId="0" ref="BX64">
      <text>
        <t xml:space="preserve">integration testing</t>
      </text>
    </comment>
    <comment authorId="0" ref="CA64">
      <text>
        <t xml:space="preserve">generating test code using POGen</t>
      </text>
    </comment>
    <comment authorId="0" ref="CH64">
      <text>
        <t xml:space="preserve">see slight 11</t>
      </text>
    </comment>
    <comment authorId="0" ref="CO64">
      <text>
        <t xml:space="preserve">gray box integration testing</t>
      </text>
    </comment>
    <comment authorId="0" ref="CS64">
      <text>
        <t xml:space="preserve">DOM</t>
      </text>
    </comment>
    <comment authorId="0" ref="DK64">
      <text>
        <t xml:space="preserve">test code generated using POGen Tool</t>
      </text>
    </comment>
    <comment authorId="0" ref="DU64">
      <text>
        <t xml:space="preserve">template variable coverage</t>
      </text>
    </comment>
    <comment authorId="0" ref="DW64">
      <text>
        <t xml:space="preserve">also evaluating the effectiveness of coverage (# of killed mutants)</t>
      </text>
    </comment>
    <comment authorId="0" ref="EA64">
      <text>
        <t xml:space="preserve">time to write 3 test cases and  # of checked variable fragments with and without POGen</t>
      </text>
    </comment>
    <comment authorId="0" ref="ES64">
      <text>
        <t xml:space="preserve">RQ1: Is template variable coverage correlated with a tests capability to detect faults?• 
Q2: How can our technique improve a tests capability to find faults?• 
RQ3: How can our technique facilitate writing test code?• 
RQ4: How can our technique facilitate maintaining test code?</t>
      </text>
    </comment>
    <comment authorId="0" ref="EZ64">
      <text>
        <t xml:space="preserve">see slight 21</t>
      </text>
    </comment>
    <comment authorId="0" ref="FF64">
      <text>
        <t xml:space="preserve">Could not access full text. not available in presentation</t>
      </text>
    </comment>
    <comment authorId="0" ref="FG64">
      <text>
        <t xml:space="preserve">Could not access full text. not available in presentation</t>
      </text>
    </comment>
    <comment authorId="0" ref="FH64">
      <text>
        <t xml:space="preserve">limitations given.</t>
      </text>
    </comment>
    <comment authorId="0" ref="FJ64">
      <text>
        <t xml:space="preserve">Could not access full text. not available in presentation</t>
      </text>
    </comment>
    <comment authorId="0" ref="FK64">
      <text>
        <t xml:space="preserve">laboratory experiment</t>
      </text>
    </comment>
    <comment authorId="0" ref="FX64">
      <text>
        <t xml:space="preserve">see slight 12</t>
      </text>
    </comment>
    <comment authorId="0" ref="F65">
      <text>
        <t xml:space="preserve">1)why BH is marked? other column could be marked 
2) check BY: created test inputs automatically by solving the contraints-
3) check manual comparison
-aysubetincan Thu Feb 23 2012 23:57:19 GMT+0200 (Turkey Standard Time)</t>
      </text>
    </comment>
    <comment authorId="0" ref="Z65">
      <text>
        <t xml:space="preserve">
"testing" appears 77 times in the paper. The proposed tool also generates test suites. See abstract.
Also, they do "CONCRETE AND SYMBOLIC
EXECUTION"
 --vgarousi Wed Aug 03 2011 16:52:06 GMT-0600 (Mountain Daylight Time)</t>
      </text>
    </comment>
    <comment authorId="0" ref="BA65">
      <text>
        <t xml:space="preserve">invariant</t>
      </text>
    </comment>
    <comment authorId="0" ref="BC65">
      <text>
        <t xml:space="preserve">Several fault localization techniques have been implemented that combine variations on Tarantula algorithm with the use of the output mapping. It is  a fully automated tool for failure detection
and fault localization for Web applications written in PHP. --Mirshokraie October-26-11 1:33:50 AM</t>
      </text>
    </comment>
    <comment authorId="0" ref="BD65">
      <text>
        <t xml:space="preserve">Apollo --Mirshokraie October-26-11 1:35:33 AM</t>
      </text>
    </comment>
    <comment authorId="0" ref="BY65">
      <text>
        <t xml:space="preserve">rely on combined concrete and symbolic
execution to generate a large number of passing and failing test cases.
--Mirshokraie October-26-11 1:55:29 AM</t>
      </text>
    </comment>
    <comment authorId="0" ref="CH65">
      <text>
        <t xml:space="preserve">From the paper: We present the first fully automatic tool that finds and localizes malformed HTML errors in Web
applications that execute PHP code on the server side. --Mirshokraie October-26-11 2:02:14 AM</t>
      </text>
    </comment>
    <comment authorId="0" ref="CU65">
      <text>
        <t xml:space="preserve">Using a constraint solver to find a concrete input that satisfies a path constraint from the selected test (the criteria of selecting tests from the queue prefers tests that will
cover additional code)</t>
      </text>
    </comment>
    <comment authorId="0" ref="DA65">
      <text>
        <t xml:space="preserve">combined concrete and symbolic execution. --Mirshokraie October-26-11 2:28:59 AM</t>
      </text>
    </comment>
    <comment authorId="0" ref="DH65">
      <text>
        <t xml:space="preserve">Creating new test inputs by solving path constraint. New tests for each transition not explored before will be added (control-flow paths are exercised). --Mirshokraie March-20-12 1:44:18 PM</t>
      </text>
    </comment>
    <comment authorId="0" ref="EO65">
      <text>
        <t xml:space="preserve">Manually localizing faults --Mirshokraie October-26-11 2:47:26 AM</t>
      </text>
    </comment>
    <comment authorId="0" ref="ES65">
      <text>
        <t xml:space="preserve">Q1. How effective is the Tarantula [14] fault localization technique in the domain of PHP web applications?
Q2. How effective is Tarantula, when combined with the use of an output mapping and/or when modeling the outcome of conditional expressions, as presented in Section 4?</t>
      </text>
    </comment>
    <comment authorId="0" ref="FV65">
      <text>
        <t xml:space="preserve">2.2 Failures in PHP Programs
Execution Failures. These are caused by missing included files, incorrect SQL queries and uncaught exceptions. Such failures are easily identiﬁed since the PHP interpreter generates an error message and halts execution. Less serious execution failures, such as those caused by the use of deprecated language constructs, produce obtrusive error messages but do not halt execution.
HTML Failures. These involve situations in which generated HTML code is not syntactically correct, causing them to be rendered incorrectly in certain browsers. This may not only lead to portability problems, but also decrease performance since the resulting pages may render slower when browsers attempt to compensate for the malformed HTML code.</t>
      </text>
    </comment>
    <comment authorId="0" ref="GP65">
      <text>
        <t xml:space="preserve">734+ 2226+ 4263+ 13879</t>
      </text>
    </comment>
    <comment authorId="0" ref="F66">
      <text>
        <t xml:space="preserve">tech is JSP and servlets,not Java. check coloumn BA not AZ --aysubetincan Fri Feb 24 2012 00:42:33 GMT+0200 (Turkey Standard Time)</t>
      </text>
    </comment>
    <comment authorId="0" ref="BH66">
      <text>
        <t xml:space="preserve">quality assurance technique for web applications-- a new approach for
interface identification that is based on symbolic execution. The approach uses symbolic values to precisely model input parameters to the web application and identify their domain constraints. --Mirshokraie October-28-11 1:47:12 AM</t>
      </text>
    </comment>
    <comment authorId="0" ref="CE66">
      <text>
        <t xml:space="preserve">the focus of the paper is on , however they also show that the set of identified interfaces can improve test input generation in terms of coverage and size. Moreover, they show that it can improve penetration testing, as well as invocation verification.  --Mirshokraie October-28-11 1:50:42 AM</t>
      </text>
    </comment>
    <comment authorId="0" ref="CK66">
      <text>
        <t xml:space="preserve">Coverage: basic block, branch, and database command form (it can be used to improve the test input generation). --Mirshokraie October-28-11 1:55:08 AM</t>
      </text>
    </comment>
    <comment authorId="0" ref="DH66">
      <text>
        <t xml:space="preserve">to show how the identified interfaces can improve test input generation (in evaluation section), they generate test
cases by solving the constraints in each interface domain constraint (IDC) using constraint solver. they use the
values in the solution as test inputs. --Mirshokraie October-28-11 2:09:59 AM</t>
      </text>
    </comment>
    <comment authorId="0" ref="DL66">
      <text>
        <t xml:space="preserve">They generate test suites using application's interface information obtained from the proposed technique.
 --Mirshokraie October-28-11 1:59:29 AM</t>
      </text>
    </comment>
    <comment authorId="0" ref="DO66">
      <text>
        <t xml:space="preserve">set of accepted user interfaces are obtained automatically. Next, to show how it can improve test input generation (in evaluation section), they generate test
cases by solving the constraints in each interface domain constraint (IDC) using constraint solver. they use the
values in the solution as test inputs. --Mirshokraie October-28-11 2:05:45 AM</t>
      </text>
    </comment>
    <comment authorId="0" ref="DU66">
      <text>
        <t xml:space="preserve">To monitor basic-block and branch coverage,
Cobertura is used and to measure command-form coverage Ditto is used.
command-form coverage [11] </t>
      </text>
    </comment>
    <comment authorId="0" ref="DX66">
      <text>
        <t xml:space="preserve">Precision, Usefulness
Usefulness=To answer this question, we modified three quality assurance techniques so that they could work with the interface information provided by the four different approaches considered. 
1-Invocation Verification
2-Penetration Testing
3-Test-Input Generation</t>
      </text>
    </comment>
    <comment authorId="0" ref="EA66">
      <text>
        <t xml:space="preserve">Efﬁciency=Analysis time/ exuection time of the tehcnique</t>
      </text>
    </comment>
    <comment authorId="0" ref="EB66">
      <text>
        <t xml:space="preserve">Table 8: Test suite size.</t>
      </text>
    </comment>
    <comment authorId="0" ref="EM66">
      <text>
        <t xml:space="preserve">spider: http://www.owasp.org/index.php/Category:OWASP_WebScarab_Project
dfw [5]: [5] Y. Deng, P. Frankl, and J. Wang. Testing Web Database Applications. SIGSOFT Software Engineering Notes, 29(5):1{10, 2004.
wam-df [12]: [12] W. G. Halfond and A. Orso. Improving Test Case Generation for Web Applications Using Automated Interface Discovery. In Proceedings of the Joint ESEC/SIGSOFT Symposium on the Foundations of Software Engineering, September 2007.</t>
      </text>
    </comment>
    <comment authorId="0" ref="EO66">
      <text>
        <t xml:space="preserve">For penetration testing they manually inspected the code. --Mirshokraie October-28-11 2:28:59 AM</t>
      </text>
    </comment>
    <comment authorId="0" ref="EP66">
      <text>
        <t xml:space="preserve">They compare their approach against three other techniques, wam-df, spider, and dfw. 
They evaluate (i) Efficiency: time requirements
(ii) precision
(iii) usefullness: Invocation Verication, Penetration Testing (SQLMap has been used), test input generation (coverage)
   --Mirshokraie October-28-11 2:20:20 AM</t>
      </text>
    </comment>
    <comment authorId="0" ref="ES66">
      <text>
        <t xml:space="preserve">RQ1: Efficiency {Is the new approach e cient in terms of its analysis time requirements?
RQ2: Precision {Is the new approach more precise than previous approaches?
RQ3: Usefulness { Does the new approach improve the performance of quality assurance techniques?</t>
      </text>
    </comment>
    <comment authorId="0" ref="FA66">
      <text>
        <t xml:space="preserve">NONE</t>
      </text>
    </comment>
    <comment authorId="0" ref="GP66">
      <text>
        <t xml:space="preserve">19402+ 10759+ 5529+ 7164</t>
      </text>
    </comment>
    <comment authorId="0" ref="F67">
      <text>
        <t xml:space="preserve">AI: Wouldn't "Test Case Prioritization" be a new Test method / technique (AD=X and AI=0)?
The evaluation is rigorous. So I think it deserves AK or even AL.
Shouldn't AQ=x? (Test Case Prioritization)
I added "Test Case Prioritization" to AY notes
BJ=x? BM=""? From title: *User-session-based* Test Cases for Web Applications Testing
I think we can write "Test case order" in CC
CR=x?
We have put in DI: 18,015=7615+9401+999 (from Table 6)
 --vgarousi Sat Feb 25 2012 16:06:17 GMT-0700 (Mountain Standard Time)</t>
      </text>
    </comment>
    <comment authorId="0" ref="BC67">
      <text>
        <t xml:space="preserve">prioritize existing test suite 
</t>
      </text>
    </comment>
    <comment authorId="0" ref="DF67">
      <text>
        <t xml:space="preserve">6 Test Case Prioritization Strategies have been proposed (page 3)
 --vgarousi Mon Jan 23 2012 10:40:04 GMT-0700 (Mountain Standard Time)</t>
      </text>
    </comment>
    <comment authorId="0" ref="DL67">
      <text>
        <t xml:space="preserve">Test case order</t>
      </text>
    </comment>
    <comment authorId="0" ref="EA67">
      <text>
        <t xml:space="preserve">Table 8. Percentage of the test suite run (Execution Time in seconds) for 100% Fault Detection
also
time taken to replay a suite</t>
      </text>
    </comment>
    <comment authorId="0" ref="EB67">
      <text>
        <t xml:space="preserve">fig 3</t>
      </text>
    </comment>
    <comment authorId="0" ref="EM67">
      <text>
        <t xml:space="preserve">from these 3 they had information on how many faults are detected by each test case.
[26] S. Sampath, S. Sprenkle, E. Gibson, L. Pollock, and A. S.
Greenwald. Applying concept analysis to user-session-
based testing of web applications. IEEE Trans. on Software
Engineering, 33(10):643–658, Oct. 2007.
[28] S. Sprenkle, E. Gibson, S. Sampath, and L. Pollock. Auto-
mated replay and failure detection for web applications. In
The Intl. Conf. of Automated Software Engineering, pages
253–262, Nov. 2005.
[29] S. Sprenkle, L. Pollock, H. Esquivel, B. Hazelwood, and
S. Ecott. Automated oracle comparators for testing web ap-
plications. In the Intl. Symp. on Software Reliability Engi-
neering, pages 253–262, November 2007.</t>
      </text>
    </comment>
    <comment authorId="0" ref="ES67">
      <text>
        <t xml:space="preserve">no RQ: 
Independent vars:the user-session-based test suites
the seeded faults and the test case prioritization techniquesç
Dependent vars:rate of fault detection, average per
cent of faults detected (APFD), and test execution time</t>
      </text>
    </comment>
    <comment authorId="0" ref="EZ67">
      <text>
        <t xml:space="preserve">see section 5.4 for detail:
none of our prioritization criteria is clearly the “best criteria” for all, but in 2 apps the prioritization that considers parameter-value counts or interactions reach 100% of fault coverage earlier:2-way technique. In fault effectiveness (good fault detection early) AAS is best for CPM case, Req-LtoS in Maplas case
time: 2-way for CPM and Maplas cases, PV-StoL is for Book case where PV-StoL is worst for the other 2.</t>
      </text>
    </comment>
    <comment authorId="0" ref="FA67">
      <text>
        <t xml:space="preserve">oracle comporators can have false positives and false ngatives 2)  reported execution times: the total time taken to
execute the entire test suite. Actual individual test case execution times could vary depending on the test case’s characteristics.4)  time is measured on different machines </t>
      </text>
    </comment>
    <comment authorId="0" ref="F68">
      <text>
        <t xml:space="preserve">1) BF and BK: DOM can count as source  code or infferred model at least.
fixed
2) creates test cases  (column BY) and test code
fixed
3) check cp: javascript
fixed
4) check DB:NA
fixed
--aysubetincan Fri Feb 24 2012 00:52:36 GMT+0200 (Turkey Standard Time)</t>
      </text>
    </comment>
    <comment authorId="0" ref="BE68">
      <text>
        <t xml:space="preserve">state model extracted from Document Object Model (DOM)
 --vgarousi Thu Sep 29 2011 16:10:36 GMT-0600 (Mountain Daylight Time)</t>
      </text>
    </comment>
    <comment authorId="0" ref="BL68">
      <text>
        <t xml:space="preserve">state model extracted from Document Object Model (DOM)
 --vgarousi Thu Sep 29 2011 16:10:36 GMT-0600 (Mountain Daylight Time)</t>
      </text>
    </comment>
    <comment authorId="0" ref="BN68">
      <text>
        <t xml:space="preserve">state model extracted from Document Object Model (DOM) and used for regression testing</t>
      </text>
    </comment>
    <comment authorId="0" ref="CC68">
      <text>
        <t xml:space="preserve">Visualizations of test failure
 --vgarousi Thu Sep 29 2011 16:02:01 GMT-0600 (Mountain Daylight Time)</t>
      </text>
    </comment>
    <comment authorId="0" ref="CS68">
      <text>
        <t xml:space="preserve">Model is called inferred State-ﬂow Graph
 --vgarousi Thu Sep 29 2011 16:03:17 GMT-0600 (Mountain Daylight Time)</t>
      </text>
    </comment>
    <comment authorId="0" ref="DX68">
      <text>
        <t xml:space="preserve">effectiveness: false positives and false negatives in our case studies, automation ratio, scalablility, 
A false positive is a mistakenly reported fault that is caused by dynamic nondeterministic behavior. A false negative is an undetected real fault that is missed by the oracle comparator.</t>
      </text>
    </comment>
    <comment authorId="0" ref="EO68">
      <text>
        <t xml:space="preserve">effectiveness: false positives and false negatives in our case studies, automation ratio, scalablility, </t>
      </text>
    </comment>
    <comment authorId="0" ref="ES68">
      <text>
        <t xml:space="preserve">RQ1 How effective is our regression testing approach?
RQ2 How much manual effort is required in the testing process?
RQ3 How scalable is our approach?</t>
      </text>
    </comment>
    <comment authorId="0" ref="FA68">
      <text>
        <t xml:space="preserve">each state difference reported in the case studies, corresponds to the ﬁrst encountered state failure in a test case</t>
      </text>
    </comment>
    <comment authorId="0" ref="GM68">
      <text>
        <t xml:space="preserve">http://crawljax.com</t>
      </text>
    </comment>
    <comment authorId="0" ref="GP68">
      <text>
        <t xml:space="preserve">7615+9401</t>
      </text>
    </comment>
    <comment authorId="0" ref="GQ68">
      <text>
        <t xml:space="preserve">these numbers were 1 row above, they were misplaced. --aysubetincan Tue Nov 01 2011 00:05:06 GMT+0200 (Turkey Standard Time)</t>
      </text>
    </comment>
    <comment authorId="0" ref="GS68">
      <text>
        <t xml:space="preserve">HitList
 --vgarousi Thu Sep 29 2011 16:06:32 GMT-0600 (Mountain Daylight Time)</t>
      </text>
    </comment>
    <comment authorId="0" ref="GT68">
      <text>
        <t xml:space="preserve">Google Reader
 --vgarousi Thu Sep 29 2011 16:06:49 GMT-0600 (Mountain Daylight Time)</t>
      </text>
    </comment>
    <comment authorId="0" ref="F69">
      <text>
        <t xml:space="preserve">I added the info about the tools to AE
I think BK=x, and BL=x
since they crawl the FSMs both manually and automatically, and BM=''
RE: Section 5.4.1 Fault Seeding, so CG=x
 --vgarousi Sat Feb 25 2012 16:20:19 GMT-0700 (Mountain Standard Time)</t>
      </text>
    </comment>
    <comment authorId="0" ref="BC69">
      <text>
        <t xml:space="preserve">Testing technique for
Rich Internet Applications (RIA) that transforms execution traces of an existing application into executable test cases.
 --Mirshokraie November-03-11 2:46:27 AM</t>
      </text>
    </comment>
    <comment authorId="0" ref="BD69">
      <text>
        <t xml:space="preserve">a set of tools: CreRIA, CrawlRIA, Test Case Generator, Test Case Reducer and DynaRIA
 --vgarousi Sat Feb 25 2012 16:19:54 GMT-0700 (Mountain Standard Time)</t>
      </text>
    </comment>
    <comment authorId="0" ref="BY69">
      <text>
        <t xml:space="preserve">Real execution traces of an RIA (manually and
artificially obtained) are transformed into executable test cases. FSM provides possible
reference model for reducing the test suite into a smaller
one.
 --Mirshokraie November-03-11 3:20:20 AM</t>
      </text>
    </comment>
    <comment authorId="0" ref="CZ69">
      <text>
        <t xml:space="preserve">automatically by the CrawlRIA tool
--Mirshokraie November-03-11 4:19:31 AM</t>
      </text>
    </comment>
    <comment authorId="0" ref="DH69">
      <text>
        <t xml:space="preserve">executable test cases --Mirshokraie November-03-11 4:26:26 AM</t>
      </text>
    </comment>
    <comment authorId="0" ref="DS69">
      <text>
        <t xml:space="preserve">Javascript function Coverage, 
Javascript LOC Coverage. </t>
      </text>
    </comment>
    <comment authorId="0" ref="DT69">
      <text>
        <t xml:space="preserve">FSM State Coverage
FSM Transition</t>
      </text>
    </comment>
    <comment authorId="0" ref="ES69">
      <text>
        <t xml:space="preserve">RQ1. How effective are the testing techniques B1, B2, and B3? This question concerns the performance of the B1, B2, and B3 techniques in terms of the coverage and fault-detection they provide. 
RQ2.  How effective are the reduction-based T1… T9 techniques with respect to the B1, B2, and B3 techniques? </t>
      </text>
    </comment>
    <comment authorId="0" ref="FA69">
      <text>
        <t xml:space="preserve">NONE</t>
      </text>
    </comment>
    <comment authorId="0" ref="GM69">
      <text>
        <t xml:space="preserve">http://wpage.unina.it/ptramont/downloads.htm</t>
      </text>
    </comment>
    <comment authorId="0" ref="F70">
      <text>
        <t xml:space="preserve">-I think we can also choose AI (FSM compression)
-I think it is not fully automated (maybe both
CD and CE ?)
 --Mirshokraie March-11-12 5:23:06 PM</t>
      </text>
    </comment>
    <comment authorId="0" ref="G70">
      <text>
        <t xml:space="preserve">-FSM compression, not test related but we could check AI. can we discuss this via email?
-CD and CE; i send an email to all. after model extraction rest is automated. how should we consider it.
aysubetincan Mon Mar 26 2012 15:46:55 GMT+0300 (GTB Daylight Time)</t>
      </text>
    </comment>
    <comment authorId="0" ref="BC70">
      <text>
        <t xml:space="preserve">FSM compression</t>
      </text>
    </comment>
    <comment authorId="0" ref="DE70">
      <text>
        <t xml:space="preserve">fsm
 --vgarousi Mon Jan 23 2012 10:40:58 GMT-0700 (Mountain Standard Time)</t>
      </text>
    </comment>
    <comment authorId="0" ref="ED70">
      <text>
        <t xml:space="preserve">See Table 4
e.g.
Number of Logical Web Pages (LWP)
  Num Recurring LWPs
 Num Non-Recurring LWPs</t>
      </text>
    </comment>
    <comment authorId="0" ref="FA70">
      <text>
        <t xml:space="preserve">NONE</t>
      </text>
    </comment>
    <comment authorId="0" ref="F71">
      <text>
        <t xml:space="preserve">1)check BK: tests created from the state model they build
fixed
2)check CP: javascript  
fixed
3) check DB: NA? SUT has jsp
V: I set DA=x (JSP)
4) SUT: Tudu. 10Kline code including java/jsp and mysql
fixed
5) tool names: FSMinstrumentor, FSMExtractor, FSMTestCaseGenerator
fixed
--aysubetincan Fri Feb 24 2012 01:32:38 GMT+0200 (Turkey Standard Time)</t>
      </text>
    </comment>
    <comment authorId="0" ref="BE71">
      <text>
        <t xml:space="preserve">state model extracted from Document Object Model (DOM)
 --vgarousi Thu Sep 29 2011 16:10:39 GMT-0600 (Mountain Daylight Time)</t>
      </text>
    </comment>
    <comment authorId="0" ref="BL71">
      <text>
        <t xml:space="preserve">state model extracted from Document Object Model (DOM)
 --vgarousi Thu Sep 29 2011 16:10:39 GMT-0600 (Mountain Daylight Time)</t>
      </text>
    </comment>
    <comment authorId="0" ref="BN71">
      <text>
        <t xml:space="preserve">state model extracted from Document Object Model (DOM) and used for state-based testing. Test cases are derived from the state model.</t>
      </text>
    </comment>
    <comment authorId="0" ref="CA71">
      <text>
        <t xml:space="preserve">"We convert them [test cases] into the XML format required by the Selenium tool"
 --vgarousi Thu Sep 29 2011 16:13:32 GMT-0600 (Mountain Daylight Time)</t>
      </text>
    </comment>
    <comment authorId="0" ref="CS71">
      <text>
        <t xml:space="preserve">state models
 --vgarousi Sun Feb 26 2012 18:18:41 GMT-0700 (Mountain Standard Time)</t>
      </text>
    </comment>
    <comment authorId="0" ref="CX71">
      <text>
        <t xml:space="preserve">"We determine the set of methods reacting to events and possibly affecting the DOM by means of a static code analysis. "
 --vgarousi Thu Sep 29 2011 16:12:17 GMT-0600 (Mountain Daylight Time)</t>
      </text>
    </comment>
    <comment authorId="0" ref="DT71">
      <text>
        <t xml:space="preserve">See Figure 4. State and transition cov in FSM </t>
      </text>
    </comment>
    <comment authorId="0" ref="DW71">
      <text>
        <t xml:space="preserve">from abstract
Table 1. Faults injected into Tudu</t>
      </text>
    </comment>
    <comment authorId="0" ref="EA71">
      <text>
        <t xml:space="preserve">from abstract
"We also measure the amount of manual interventions involved in constructing and refining the model required by this approach."</t>
      </text>
    </comment>
    <comment authorId="0" ref="ES71">
      <text>
        <t xml:space="preserve">RQ1: What is the size reduction achieved by sequences based on semantic interactions, compared to FSM coverage-adequate sequences having the same length?
RQ2: What is the fault revealing capability of test sequences based on semantic interactions, compared to FSM coverage and functional test suites?
RQ3: How many traces are necessary to construct an accurate state model?
RQ4: What manual re nement steps are necessary to get executable test cases?</t>
      </text>
    </comment>
    <comment authorId="0" ref="FD71">
      <text>
        <t xml:space="preserve">"Of course, it is hard to generalize these  ndings to other Ajax applications, especially if they depart from the
characteristics of Tudu. However, the preliminary results"</t>
      </text>
    </comment>
    <comment authorId="0" ref="FV71">
      <text>
        <t xml:space="preserve">3.1 Ajax faults
revealing faults related to incorrect manipulation of the DOM, for example deriving from assumptions about the DOM structure which become invalid during the execution because of page manipulation by Javascript code. 
Another example is an inconsistency between code and DOM, which makes the code reference an incorrect or nonexistent part of the DOM.
unintended interleaving of server messages, swapped callbacks, and executions occurring under incorrect DOM state.</t>
      </text>
    </comment>
    <comment authorId="0" ref="GS71">
      <text>
        <t xml:space="preserve">TUDU
http://tudu.ess.ch/tudu/welcome.action
 --vgarousi Thu Sep 29 2011 16:15:56 GMT-0600 (Mountain Daylight Time)</t>
      </text>
    </comment>
    <comment authorId="0" ref="F72">
      <text>
        <t xml:space="preserve">I think AF=x, since a test model is also built (called Web graph)
I do not think AI should be x, just because this is a preliminary work.
For BF, the notes area should mention if the model has been extracted automatically, and the answer is yes. From the abstract: "The results show that the approach
automatically builds models containing a limited..."
DE: I moved the list of tools to the notes area  of DE instead, since we wanted to only include the tools "proposed" in each paper, and not the ones proposed earlier used in this paper.
 --vgarousi Sun Feb 26 2012 11:04:23 GMT-0700 (Mountain Standard Time)</t>
      </text>
    </comment>
    <comment authorId="0" ref="BC72">
      <text>
        <t xml:space="preserve">using code mutation to reverse engineer a Web application and build its model which is then used for testing. --Mirshokraie November-11-11 6:16:05 PM</t>
      </text>
    </comment>
    <comment authorId="0" ref="BE72">
      <text>
        <t xml:space="preserve">called web graph. "The built model is a Web graph (WG) that describes the navigation system of the application."
--Mirshokraie March-20-12 2:16:33 PM</t>
      </text>
    </comment>
    <comment authorId="0" ref="BJ72">
      <text>
        <t xml:space="preserve">called web graph. "The built model is a Web graph (WG) that describes the navigation system of the application."
--Mirshokraie March-20-12 2:16:33 PM</t>
      </text>
    </comment>
    <comment authorId="0" ref="BN72">
      <text>
        <t xml:space="preserve">an approach that uses
code mutation to reverse engineer a Web application
and build its model then used for testing.</t>
      </text>
    </comment>
    <comment authorId="0" ref="BY72">
      <text>
        <t xml:space="preserve">traversing the web graph to extract paths according to coverage criteria. 
--Mirshokraie November-11-11 6:28:07 PM</t>
      </text>
    </comment>
    <comment authorId="0" ref="BZ72">
      <text>
        <t xml:space="preserve">using the user reports, collected
during testing, for the refinement phase. 
--Mirshokraie November-11-11 6:28:40 PM</t>
      </text>
    </comment>
    <comment authorId="0" ref="CS72">
      <text>
        <t xml:space="preserve">The approach
automatically builds models containing a limited degree of inaccuracy that can be pruned during the application testing.
--Traversing the web graph to extract paths according to coverage criteria. --Mirshokraie November-11-11 6:50:32 PM</t>
      </text>
    </comment>
    <comment authorId="0" ref="CT72">
      <text>
        <t xml:space="preserve">using the user reports manually, collected
during the testing phase, to refine the model. --Mirshokraie November-11-11 6:51:39 PM</t>
      </text>
    </comment>
    <comment authorId="0" ref="DF72">
      <text>
        <t xml:space="preserve">applying mutant operators to the code
component, performing
navigation sessions using random input values and user interactions. 
--Mirshokraie November-11-11 6:53:42 PM</t>
      </text>
    </comment>
    <comment authorId="0" ref="DI72">
      <text>
        <t xml:space="preserve">path representing a test case composed of a sequence of Web pages. --Mirshokraie November-11-11 6:57:41 PM</t>
      </text>
    </comment>
    <comment authorId="0" ref="DJ72">
      <text>
        <t xml:space="preserve">Authors mentioned that they complete test cases with a set of oracles and input data. To generate them, they use random values which are extracted from log files. They also ask the user help to complete test cases. 
--Mirshokraie November-11-11 6:59:47 PM</t>
      </text>
    </comment>
    <comment authorId="0" ref="DS72">
      <text>
        <t xml:space="preserve">(i) the number of static and dynamically built Web pages compared with the gold standard, (ii) the number of feasible
paths of a test suite. 
--Mirshokraie November-11-11 7:09:11 PM</t>
      </text>
    </comment>
    <comment authorId="0" ref="EN72">
      <text>
        <t xml:space="preserve">two well known user-choose and random techniques in model-based testing are selected to be compared with. Two types of mutation are also considered, basic and PHP-specific. 
 --Mirshokraie November-11-11 7:45:05 PM</t>
      </text>
    </comment>
    <comment authorId="0" ref="ES72">
      <text>
        <t xml:space="preserve">RQ1 : What is the diﬀerence between the reverse engineered models built by each approach and the gold-standard (i.e., ideal) model?  
RQ2 : What is the diﬀerence between the complexity of the suites of test cases built by testers using the reverse engineered models and the gold-standard suites (i.e., suites extracted from the gold-standard
models)?</t>
      </text>
    </comment>
    <comment authorId="0" ref="EZ72">
      <text>
        <t xml:space="preserve">both random and ba-
sic mutation built partial models.RQ2, we can
conclude that about the 32% of the graph-based paths
cannot be captured using random and so, testers need
to do a lot of additional work to complete the models
before to use them for testing. Using the basic mu-
tation only the 8% of these kind of paths cannot be
captured but an additional 6% of infeasible paths is
capured. These paths require an additional testing ef-
fort for identifying and removing them. Instead, using
the PHP-speciﬁc mutation approach the 100% of the
feasible paths are captured with an additional and lim-
ited 3% of infeasible paths.</t>
      </text>
    </comment>
    <comment authorId="0" ref="FA72">
      <text>
        <t xml:space="preserve">results are inﬂuenced by the (coverage) criterion used to extract test cases from the built models</t>
      </text>
    </comment>
    <comment authorId="0" ref="FC72">
      <text>
        <t xml:space="preserve">experiment does not consider the effort required to select inputs and oracles of each testcase but only the number of the test cases. experiment does not consider the diﬀerent types of eﬀort that are required in model-based testing. </t>
      </text>
    </comment>
    <comment authorId="0" ref="FD72">
      <text>
        <t xml:space="preserve">1)size of SUTs are small
2)no scripting in client side of SUTs such as javascript-Ajax</t>
      </text>
    </comment>
    <comment authorId="0" ref="GL72">
      <text>
        <t xml:space="preserve">authors use both WebUml and TestUml which are implemented previously by the themselves
 --vgarousi Sun Feb 26 2012 11:10:06 GMT-0700 (Mountain Standard Time)</t>
      </text>
    </comment>
    <comment authorId="0" ref="GP72">
      <text>
        <t xml:space="preserve">220+ 170+ 1332+ 202+ 492+ 1138+ 1387+ 714+ 7500</t>
      </text>
    </comment>
    <comment authorId="0" ref="F73">
      <text>
        <t xml:space="preserve">CI: You mentioned fault seeding, thus CG=x, CI=''
 --vgarousi Sun Feb 26 2012 11:24:33 GMT-0700 (Mountain Standard Time)</t>
      </text>
    </comment>
    <comment authorId="0" ref="BH73">
      <text>
        <t xml:space="preserve">The authors demonstrate the applicability of the
UniTESK test development technology for testing the client
side functionality of AJAX web applications. UniTESK is a pre-existing industrial model based test development technology.
--Mirshokraie November-07-11 12:37:23 AM</t>
      </text>
    </comment>
    <comment authorId="0" ref="BY73">
      <text>
        <t xml:space="preserve">Specifications are used to determine
the test coverage criteria. Then, test scenarios are developed so that the
chosen test coverage criteria could be achieved during
testing. --Mirshokraie November-07-11 12:40:59 AM</t>
      </text>
    </comment>
    <comment authorId="0" ref="CP73">
      <text>
        <t xml:space="preserve">Requirements to the application behavior are fixed in specifications in the form of pre-conditions and post-conditions
of stimuli and reactions, and invariants of data
types.
 --Mirshokraie November-07-11 12:44:40 AM</t>
      </text>
    </comment>
    <comment authorId="0" ref="CV73">
      <text>
        <t xml:space="preserve">The technique formalizes the requirements using
UniTESK. The tester must represent possible interactions of the client side functionality with its environment as a set of stimuli and reactions. A formal interface of the application under test consisting
of stimuli and reactions is fixed in specifications.
[Requirements to the application behavior are fixed in specifications in the form of pre-conditions and post-conditions
of stimuli and reactions, and invariants of data
types.] --Mirshokraie November-07-11 2:05:43 AM</t>
      </text>
    </comment>
    <comment authorId="0" ref="DI73">
      <text>
        <t xml:space="preserve">Specifications are used to determine
the test coverage criteria.
Next, test scenarios are developed so that the chosen test coverage criteria could be achieved during testing. --Mirshokraie November-07-11 12:54:34 AM</t>
      </text>
    </comment>
    <comment authorId="0" ref="EN73">
      <text>
        <t xml:space="preserve">collecting Ajax patterns and implementing applications accordingly (by the authors), fault seeding, measure the percentage of faults detected by the technique.  --Mirshokraie March-20-12 2:13:03 PM</t>
      </text>
    </comment>
    <comment authorId="0" ref="FY73">
      <text>
        <t xml:space="preserve">JavaTESK toolkit is used to implement the UniTESK test suite
architecture components and run the test suites developed. The proxy server is implemented using Java. --Mirshokraie November-07-11 2:18:54 AM</t>
      </text>
    </comment>
    <comment authorId="0" ref="GN73">
      <text>
        <t xml:space="preserve">Ajax application for: Explicit Submission,
Periodic Refresh, Submission Throttling,
Predictive Fetch,
Browser-side cache,
Guesstimate, Pseudo-threading, Multi-stage download. --Mirshokraie November-07-11 2:22:44 AM</t>
      </text>
    </comment>
    <comment authorId="0" ref="F74">
      <text>
        <t xml:space="preserve">Section 6 talks about the implementation of a "analyzer". So I guess they are proposing a no-name! tool, AE=x?
CC: Type of test artifact generated could be: context-free grammar, as a test model
DE: no-name analyzer tool?
 --vgarousi Sat Feb 25 2012 16:36:52 GMT-0700 (Mountain Standard Time)</t>
      </text>
    </comment>
    <comment authorId="0" ref="T74">
      <text>
        <t xml:space="preserve">it works on Vulnerabilities, but it seems to me that it is from functional nature
--vgarousi Tue Aug 02 2011 16:18:43 GMT-0600 (Mountain Daylight Time)</t>
      </text>
    </comment>
    <comment authorId="0" ref="BA74">
      <text>
        <t xml:space="preserve">static analysis that approx the string outputs of a WA using context-free grammar
</t>
      </text>
    </comment>
    <comment authorId="0" ref="DL74">
      <text>
        <t xml:space="preserve">context-free grammar </t>
      </text>
    </comment>
    <comment authorId="0" ref="GP74">
      <text>
        <t xml:space="preserve">2224+8085+ 843+ 726+ 462+ 890</t>
      </text>
    </comment>
    <comment authorId="0" ref="F75">
      <text>
        <t xml:space="preserve">They also analyze Ajax Client-side code, so shuold AZ=x?
 --vgarousi Sat Feb 25 2012 16:49:51 GMT-0700 (Mountain Standard Time)</t>
      </text>
    </comment>
    <comment authorId="0" ref="BC75">
      <text>
        <t xml:space="preserve">Static analysis that detects non-deterministic
problems caused by asynchronous calls through Ajax. --Mirshokraie November-04-11 1:37:57 AM</t>
      </text>
    </comment>
    <comment authorId="0" ref="BP75">
      <text>
        <t xml:space="preserve">it was here, but the case study is not clear to understand</t>
      </text>
    </comment>
    <comment authorId="0" ref="CE75">
      <text>
        <t xml:space="preserve">Formulating problems (due to asynchronous requests) as special cases of data race and atomicity violation problems. 
Creating a buggy pattern (rule) in datalog language and analyse the program against these rules.
--Mirshokraie November-04-11 1:41:42 AM</t>
      </text>
    </comment>
    <comment authorId="0" ref="CK75">
      <text>
        <t xml:space="preserve">at inconsistency/atomicity violation level, --Mirshokraie November-04-11 1:53:07 AM</t>
      </text>
    </comment>
    <comment authorId="0" ref="CX75">
      <text>
        <t xml:space="preserve">perform static program analysis on the code. --Mirshokraie November-04-11 1:58:04 AM</t>
      </text>
    </comment>
    <comment authorId="0" ref="DL75">
      <text>
        <t xml:space="preserve">They create a Data log rules for detecting inconsistency bugs and atomicity violations. -
-Mirshokraie November-04-11 1:59:52 AM</t>
      </text>
    </comment>
    <comment authorId="0" ref="DO75">
      <text>
        <t xml:space="preserve">From the paper: Our technique is fully automated. --Mirshokraie November-04-11 2:01:43 AM</t>
      </text>
    </comment>
    <comment authorId="0" ref="EA75">
      <text>
        <t xml:space="preserve">Table 4: Analysis Result</t>
      </text>
    </comment>
    <comment authorId="0" ref="EO75">
      <text>
        <t xml:space="preserve">manually examining reported bugs to confirm
they are real ones. --Mirshokraie November-04-11 2:05:08 AM</t>
      </text>
    </comment>
    <comment authorId="0" ref="EP75">
      <text>
        <t xml:space="preserve">measuring average analyzing time </t>
      </text>
    </comment>
    <comment authorId="0" ref="GP75">
      <text>
        <t xml:space="preserve">706+ 614+ 2989+ 6542+ 8145+ 5561+ 10960+ 76024+ 6378</t>
      </text>
    </comment>
    <comment authorId="0" ref="GT75">
      <text>
        <t xml:space="preserve">MSN
 --vgarousi Sun Feb 26 2012 10:23:30 GMT-0700 (Mountain Standard Time)</t>
      </text>
    </comment>
    <comment authorId="0" ref="F76">
      <text>
        <t xml:space="preserve">AE: The tool ReWeb was proposed in an earlier paper [5]. So I think this paper does not propose a tool itself.
For Research Facet, I think it deserved more than 1-Solution Proposal, perhaps 2-Validation Research.
Shouldn't it be AQ:(Functional) Testing instead of Dynamic Verification (analysis)?
DE: ReWeb was proposed in [5]. So I guess we should just put TestWeb in DE.
  --vgarousi Sun Feb 26 2012 10:49:16 GMT-0700 (Mountain Standard Time)</t>
      </text>
    </comment>
    <comment authorId="0" ref="GO76">
      <text>
        <t xml:space="preserve">web site is not valid anymore --aysubetincan Thu Nov 03 2011 21:42:22 GMT+0200 (Turkey Standard Time)</t>
      </text>
    </comment>
    <comment authorId="0" ref="BC77">
      <text>
        <t xml:space="preserve">Applicaion of data flow testing technique to web applications.</t>
      </text>
    </comment>
    <comment authorId="0" ref="BE77">
      <text>
        <t xml:space="preserve">a test model,
called WATM, that captures structural test artifacts of Web
applications is proposed</t>
      </text>
    </comment>
    <comment authorId="0" ref="BK77">
      <text>
        <t xml:space="preserve">Fig 6, ICFG
data flow graph</t>
      </text>
    </comment>
    <comment authorId="0" ref="BN77">
      <text>
        <t xml:space="preserve">the structural test artifacts of a Web application
are captured in a Web Application Test Model (WATM. Data
flow test cases for Web applications are derivedji-omf2ow
graphs.</t>
      </text>
    </comment>
    <comment authorId="0" ref="BO77">
      <text>
        <t xml:space="preserve">a small examle is given.</t>
      </text>
    </comment>
    <comment authorId="0" ref="BW77">
      <text>
        <t xml:space="preserve">data flow testing</t>
      </text>
    </comment>
    <comment authorId="0" ref="CG77">
      <text>
        <t xml:space="preserve">html/xml</t>
      </text>
    </comment>
    <comment authorId="0" ref="CH77">
      <text>
        <t xml:space="preserve">asp</t>
      </text>
    </comment>
    <comment authorId="0" ref="CL77">
      <text>
        <t xml:space="preserve">data flow test cases should be derived from the “interclient”
perspective based on the data interactions among the clients.</t>
      </text>
    </comment>
    <comment authorId="0" ref="CQ77">
      <text>
        <t xml:space="preserve">HTML document elements are treated as
global variables by the script functions within the documents</t>
      </text>
    </comment>
    <comment authorId="0" ref="CT77">
      <text>
        <t xml:space="preserve">(Manual now. But implementing a tool for automating)
In our approach, the structural test artifacts of a Web application are captured in a Web Application Test Model (WATM) where each component of the Web application is treated as an object</t>
      </text>
    </comment>
    <comment authorId="0" ref="DE77">
      <text>
        <t xml:space="preserve">Since we represent a Web application using objects as
basic units in the WATM, data flow test cases can be
derived from three different perspectives: intra-object,
inter-object, and inter-client.</t>
      </text>
    </comment>
    <comment authorId="0" ref="DI77">
      <text>
        <t xml:space="preserve">interprocedural control flow graph,
def-use chains</t>
      </text>
    </comment>
    <comment authorId="0" ref="DL77">
      <text>
        <t xml:space="preserve">data flow test cases</t>
      </text>
    </comment>
    <comment authorId="0" ref="DN77">
      <text>
        <t xml:space="preserve">they propose a technique and there is not an automated application of it.</t>
      </text>
    </comment>
    <comment authorId="0" ref="DS77">
      <text>
        <t xml:space="preserve">no effectiveness discussion</t>
      </text>
    </comment>
    <comment authorId="0" ref="GE77">
      <text>
        <t xml:space="preserve">asp</t>
      </text>
    </comment>
    <comment authorId="0" ref="GN77">
      <text>
        <t xml:space="preserve">there is an application called eBid but it is a small sample application can't accept as a SUT</t>
      </text>
    </comment>
    <comment authorId="0" ref="F78">
      <text>
        <t xml:space="preserve">-Is it fully manual? Are test case generation and execution both fully manual? (I thought we can mark CD and CE together)
V: now, both CD and CE=x
- I think the evaluation may not be as comprehensive as it should be for choosing AL.
V: agree. down graded to AK
 --Mirshokraie March-12-12 1:05:43 AM</t>
      </text>
    </comment>
    <comment authorId="0" ref="AR78">
      <text>
        <t xml:space="preserve">Validation Flow graph extraction is whitebox
</t>
      </text>
    </comment>
    <comment authorId="0" ref="AS78">
      <text>
        <t xml:space="preserve">CFG and validation ﬂow graph (VFG)</t>
      </text>
    </comment>
    <comment authorId="0" ref="BC78">
      <text>
        <t xml:space="preserve">an approach for automated recovery of input validation model from program source code
 --vgarousi Thu Sep 29 2011 16:24:43 GMT-0600 (Mountain Daylight Time)</t>
      </text>
    </comment>
    <comment authorId="0" ref="BE78">
      <text>
        <t xml:space="preserve">CFG and validation ﬂow graph (VFG)
 --vgarousi Thu Sep 29 2011 16:26:14 GMT-0600 (Mountain Daylight Time)</t>
      </text>
    </comment>
    <comment authorId="0" ref="BF78">
      <text>
        <t xml:space="preserve">two coverage criteria for testing input validation
 --vgarousi Thu Sep 29 2011 16:25:03 GMT-0600 (Mountain Daylight Time)</t>
      </text>
    </comment>
    <comment authorId="0" ref="BK78">
      <text>
        <t xml:space="preserve">CFG and validation ﬂow graph (VFG)
 --vgarousi Thu Sep 29 2011 16:26:14 GMT-0600 (Mountain Daylight Time)</t>
      </text>
    </comment>
    <comment authorId="0" ref="BM78">
      <text>
        <t xml:space="preserve">validation ﬂow graph (VFG): which shows essential input validation features implemented in programs</t>
      </text>
    </comment>
    <comment authorId="0" ref="BN78">
      <text>
        <t xml:space="preserve">propose an approach for automated recovery of input validation model from program source code then formulate two coverage criteria for testing input validation from model</t>
      </text>
    </comment>
    <comment authorId="0" ref="CH78">
      <text>
        <t xml:space="preserve">jsp
 --vgarousi Thu Sep 29 2011 16:32:14 GMT-0600 (Mountain Daylight Time)</t>
      </text>
    </comment>
    <comment authorId="0" ref="CX78">
      <text>
        <t xml:space="preserve">they extract a CFG
 --vgarousi Thu Sep 29 2011 16:32:33 GMT-0600 (Mountain Daylight Time)</t>
      </text>
    </comment>
    <comment authorId="0" ref="DI78">
      <text>
        <t xml:space="preserve">CFP
 --vgarousi Thu Sep 29 2011 16:32:56 GMT-0600 (Mountain Daylight Time)</t>
      </text>
    </comment>
    <comment authorId="0" ref="DU78">
      <text>
        <t xml:space="preserve">a new metric: input validation coverage (IVC) criteria</t>
      </text>
    </comment>
    <comment authorId="0" ref="DW78">
      <text>
        <t xml:space="preserve">we seeded 30 input valida-
tion errors into the input programs in the system under
test: 6 on extra conditions, 6 on missing conditions, 6
on incorrect expressions and another 12 on logical ops</t>
      </text>
    </comment>
    <comment authorId="0" ref="EN78">
      <text>
        <t xml:space="preserve">"we seeded 30 input validation errors"
 --vgarousi Thu Sep 29 2011 16:33:57 GMT-0600 (Mountain Daylight Time)</t>
      </text>
    </comment>
    <comment authorId="0" ref="EZ78">
      <text>
        <t xml:space="preserve"> without the tool help none of the test suites detect all input validation errors. Then, test suites designed with the help of the TVIT tool. using pathbased IVC , these suites cover each class in the VN-based partition but no student found all faults-but better than no tool usage. using IVC condition based 
1 student found all faults in case smacs case, 2students faound all faults in case2.</t>
      </text>
    </comment>
    <comment authorId="0" ref="GP78">
      <text>
        <t xml:space="preserve">16 SUTs, see Table 1 of the paper
 --vgarousi Thu Sep 29 2011 16:27:37 GMT-0600 (Mountain Daylight Time)</t>
      </text>
    </comment>
    <comment authorId="0" ref="F79">
      <text>
        <t xml:space="preserve">AE: I put the test tool name in notes
AH: In Figure 1, they talk about Incremental/iterative process model for the development of Web applications, so I think "process" should also be checked
AQ=x?
 --vgarousi Sun Feb 26 2012 11:26:24 GMT-0700 (Mountain Standard Time)</t>
      </text>
    </comment>
    <comment authorId="0" ref="Q79">
      <text>
        <t xml:space="preserve">to discuss
 --vgarousi Wed Aug 03 2011 17:17:56 GMT-0600 (Mountain Daylight Time)</t>
      </text>
    </comment>
    <comment authorId="0" ref="Z79">
      <text>
        <t xml:space="preserve">This one is a journal version and 2002. The #3- is a conf paper and 2001. So I suggest to include this one and exclude that one.
 --vgarousi Wed Aug 03 2011 17:17:26 GMT-0600 (Mountain Daylight Time)</t>
      </text>
    </comment>
    <comment authorId="0" ref="AR79">
      <text>
        <t xml:space="preserve"> </t>
      </text>
    </comment>
    <comment authorId="0" ref="BD79">
      <text>
        <t xml:space="preserve">TestWeb
 --vgarousi Sun Feb 26 2012 11:26:17 GMT-0700 (Mountain Standard Time)</t>
      </text>
    </comment>
    <comment authorId="0" ref="DU79">
      <text>
        <t xml:space="preserve">"This set of 4 test cases provides 100% coverage of page and hyperlink testing criteria."</t>
      </text>
    </comment>
    <comment authorId="0" ref="F80">
      <text>
        <t xml:space="preserve">- Can we also add AG? (proposed hyperlink and input GUI coverage)
- Can't we choose both AR and AS in addition to AQ?
 --Mirshokraie March-13-12 12:06:14 AM</t>
      </text>
    </comment>
    <comment authorId="0" ref="G80">
      <text>
        <t xml:space="preserve">metric: I fail to see a metric("proposed hyperlink and input GUI coverage") can you explain more or point out a section?
why static analysis? 
 --aysubetincan Mon Mar 26 2012 15:33:07 GMT+0300 (GTB Daylight Time)</t>
      </text>
    </comment>
    <comment authorId="0" ref="Z80">
      <text>
        <t xml:space="preserve">more on white box testing
 --vgarousi Wed Aug 03 2011 17:19:33 GMT-0600 (Mountain Daylight Time)</t>
      </text>
    </comment>
    <comment authorId="0" ref="BH80">
      <text>
        <t xml:space="preserve">presenting new mutation operators for web apps:
5.2. Presentation level mutation operators
ICC—Inherited Class Change
EIO—Element Interchange Operator
OVO—Opposite Value Operator
ERO—Element Removal Operator
Event level mutation operators
VRO—eVent Removal Operator
VIO—eVent Implementation
VSO—eVent Swap Operator</t>
      </text>
    </comment>
    <comment authorId="0" ref="BK80">
      <text>
        <t xml:space="preserve">Fig. 2. Control (directed edges) and data dependences (curved directed edges) in the ‘Page_Load’ method fragment of ‘EditItem.aspx.cs’.</t>
      </text>
    </comment>
    <comment authorId="0" ref="BN80">
      <text>
        <t xml:space="preserve">Modeling WAs with event-based dependence graphs and apply data ﬂow testing techniques to these dependence graphs</t>
      </text>
    </comment>
    <comment authorId="0" ref="CX80">
      <text>
        <t xml:space="preserve">dependence graph
 --vgarousi Mon Jan 23 2012 10:43:07 GMT-0700 (Mountain Standard Time)</t>
      </text>
    </comment>
    <comment authorId="0" ref="CY80">
      <text>
        <t xml:space="preserve">dataflow
 --vgarousi Mon Jan 23 2012 10:42:59 GMT-0700 (Mountain Standard Time)</t>
      </text>
    </comment>
    <comment authorId="0" ref="DF80">
      <text>
        <t xml:space="preserve">mutation, dataflow, dependence graph
 --vgarousi Mon Jan 23 2012 10:42:40 GMT-0700 (Mountain Standard Time)</t>
      </text>
    </comment>
    <comment authorId="0" ref="DU80">
      <text>
        <t xml:space="preserve">All-hyperlinks testing
All-input-GUI testing
All-events testing</t>
      </text>
    </comment>
    <comment authorId="0" ref="DV80">
      <text>
        <t xml:space="preserve">5.2. Presentation level mutation operators
ICC—Inherited Class Change
EIO—Element Interchange Operator
OVO—Opposite Value Operator
ERO—Element Removal Operator
Event level mutation operators
VRO—eVent Removal Operator
VIO—eVent Implementation
VSO—eVent Swap Operator</t>
      </text>
    </comment>
    <comment authorId="0" ref="GP80">
      <text>
        <t xml:space="preserve">32+101+27+80</t>
      </text>
    </comment>
    <comment authorId="0" ref="F81">
      <text>
        <t xml:space="preserve">- Could you please comment why AS=x for the "focus of the paper", while BP=x for the "technique used"?
- Couldn't we choose BH as well? (decision tables used for selecting test cases)
--Mirshokraie March-13-12 12:26:54 AM</t>
      </text>
    </comment>
    <comment authorId="0" ref="G81">
      <text>
        <t xml:space="preserve">it is dynamic analysis. instrumentation enables catching information at runtime.
you're right not static  analysis as test technique? do you think it is model based or requirement base?
 --aysubetincan Mon Mar 26 2012 15:24:22 GMT+0300 (GTB Daylight Time)</t>
      </text>
    </comment>
    <comment authorId="0" ref="BN81">
      <text>
        <t xml:space="preserve">exploits an object-oriented model of a WA as a test model, and proposes a definilion of Ihe unil level for WA. Based on this model, a method to test the single units of a WA and for the integration test proposed.</t>
      </text>
    </comment>
    <comment authorId="0" ref="F82">
      <text>
        <t xml:space="preserve">I'm agree with selected items.
 --Mirshokraie March-13-12 12:36:28 AM</t>
      </text>
    </comment>
    <comment authorId="0" ref="F83">
      <text>
        <t xml:space="preserve">1)check AE:testuml is the tool . also webuml (presented elsewhere)
fixed
2)check column AV,AW: "it executes them and generates test results and coverage level reports."
fixed
3)check BK and BG instead of BF:testuml gets a model as input, webuml generates it. reverse enginerring is inferring the model (BK)
fixed
4) check BW
fixed
5)check CB: it is creating test scripts
fixed
6) check both cd and ce: semiautomated
fixed
7) technique used :model based, random walks
8) SUT: same as webuml paper, need to find that paper
it is a toy example
--aysubetincan Fri Feb 24 2012 02:01:55 GMT+0200 (Turkey Standard Time)</t>
      </text>
    </comment>
    <comment authorId="0" ref="BC83">
      <text>
        <t xml:space="preserve">statistical testing and coverage analysis baseed on reverse engineered UML models
 --vgarousi Thu Sep 29 2011 16:35:14 GMT-0600 (Mountain Daylight Time)</t>
      </text>
    </comment>
    <comment authorId="0" ref="BD83">
      <text>
        <t xml:space="preserve">testuml
 --vgarousi Sun Feb 26 2012 19:20:23 GMT-0700 (Mountain Standard Time)</t>
      </text>
    </comment>
    <comment authorId="0" ref="BE83">
      <text>
        <t xml:space="preserve">reverse engineered UML models
 --vgarousi Thu Sep 29 2011 16:35:22 GMT-0600 (Mountain Daylight Time)</t>
      </text>
    </comment>
    <comment authorId="0" ref="BN83">
      <text>
        <t xml:space="preserve">WebUml is a reverse
engineering tool that generates class and state diagrams through
static and dynamic Web application analysis. TestUml is a testing
suite that uses generated models to define test cases, coverage testing
criteria and also reliability analysis</t>
      </text>
    </comment>
    <comment authorId="0" ref="CA83">
      <text>
        <t xml:space="preserve">"it executes them and generates test results and coverage level reports."
 --vgarousi Sun Feb 26 2012 19:21:12 GMT-0700 (Mountain Standard Time)</t>
      </text>
    </comment>
    <comment authorId="0" ref="CB83">
      <text>
        <t xml:space="preserve">"it executes them and generates test results and coverage level reports."
</t>
      </text>
    </comment>
    <comment authorId="0" ref="CS83">
      <text>
        <t xml:space="preserve">UML models reverse engineered from code
</t>
      </text>
    </comment>
    <comment authorId="0" ref="DU83">
      <text>
        <t xml:space="preserve">"desired coverage level (e.g., 70% pages, 75% of index pages, 85% of Web object with high coupling, or so on)"</t>
      </text>
    </comment>
    <comment authorId="0" ref="GO83">
      <text>
        <t xml:space="preserve">a simple example
 --vgarousi Sun Feb 26 2012 19:28:10 GMT-0700 (Mountain Standard Time)</t>
      </text>
    </comment>
    <comment authorId="0" ref="F84">
      <text>
        <t xml:space="preserve">1)AW: execution is in fitnesse,so it does not count
fixed
2)CD and CE: semimanual
fixed
3) SUT: widgets.com. 
fixed
4) CR not CS
fixed
--aysubetincan Fri Feb 24 2012 02:29:30 GMT+0200 (Turkey Standard Time)</t>
      </text>
    </comment>
    <comment authorId="0" ref="BD84">
      <text>
        <t xml:space="preserve">UCM2FIT
 --vgarousi Thu Sep 29 2011 17:10:44 GMT-0600 (Mountain Daylight Time)</t>
      </text>
    </comment>
    <comment authorId="0" ref="BE84">
      <text>
        <t xml:space="preserve">testing based on Use Case Maps (UCMs)
 --vgarousi Thu Sep 29 2011 16:59:46 GMT-0600 (Mountain Daylight Time)</t>
      </text>
    </comment>
    <comment authorId="0" ref="BJ84">
      <text>
        <t xml:space="preserve">testing based on Use Case Maps (UCMs)
 --vgarousi Thu Sep 29 2011 16:59:46 GMT-0600 (Mountain Daylight Time)</t>
      </text>
    </comment>
    <comment authorId="0" ref="BN84">
      <text>
        <t xml:space="preserve">Manually model the WAs with UCM and generate test cases
for using in the FitNesse acceptance testing framework</t>
      </text>
    </comment>
    <comment authorId="0" ref="BY84">
      <text>
        <t xml:space="preserve">paths in Use Case Maps (UCMs)
 --vgarousi Thu Sep 29 2011 17:03:37 GMT-0600 (Mountain Daylight Time)</t>
      </text>
    </comment>
    <comment authorId="0" ref="CA84">
      <text>
        <t xml:space="preserve">using the FitNesse tool
 --vgarousi Thu Sep 29 2011 17:04:36 GMT-0600 (Mountain Daylight Time)</t>
      </text>
    </comment>
    <comment authorId="0" ref="CP84">
      <text>
        <t xml:space="preserve">UCM
 --vgarousi Thu Sep 29 2011 17:05:25 GMT-0600 (Mountain Daylight Time)</t>
      </text>
    </comment>
    <comment authorId="0" ref="DK84">
      <text>
        <t xml:space="preserve">FitNesse test code
 --vgarousi Thu Sep 29 2011 17:10:06 GMT-0600 (Mountain Daylight Time)</t>
      </text>
    </comment>
    <comment authorId="0" ref="EZ84">
      <text>
        <t xml:space="preserve">1. Edits to the shopping cart are not properly updated.
2. Discount ($50 when the total is greater than $100) is incorrectly applied.
3. Race condition: Only the most recent order is shown in the download section.
4. State-/Timing-related: Can add widgets to the cart for free.</t>
      </text>
    </comment>
    <comment authorId="0" ref="F85">
      <text>
        <t xml:space="preserve">Research Facet: I think a replication study would be under AK
 --vgarousi Sun Feb 26 2012 11:31:10 GMT-0700 (Mountain Standard Time)</t>
      </text>
    </comment>
    <comment authorId="0" ref="BH85">
      <text>
        <t xml:space="preserve">This paper replicated Kallepalli and Tian’s work, showing that,
in contrast to their results, multiple set UMMs (Unified Markov Models) were needed for trustworthy test case generation. 
--Mirshokraie November-11-11 12:03:29 PM</t>
      </text>
    </comment>
    <comment authorId="0" ref="BO85">
      <text>
        <t xml:space="preserve">showing that multiple set UMMs are needed for trustworthy test case generation. --Mirshokraie November-11-11 12:14:47 PM</t>
      </text>
    </comment>
    <comment authorId="0" ref="BY85">
      <text>
        <t xml:space="preserve">using multiple set UMMs for trustworthy
test case generation. --Mirshokraie November-11-11 12:15:17 PM</t>
      </text>
    </comment>
    <comment authorId="0" ref="CP85">
      <text>
        <t xml:space="preserve">Unified Markov Models (UMM)
--Mirshokraie November-11-11 1:08:36 PM</t>
      </text>
    </comment>
    <comment authorId="0" ref="CR85">
      <text>
        <t xml:space="preserve">analyzing server access and error logs to derive navigation patterns. --Mirshokraie November-11-11 1:09:56 PM</t>
      </text>
    </comment>
    <comment authorId="0" ref="DF85">
      <text>
        <t xml:space="preserve">analyzing server access and error logs-- using a probability threshold for selecting the navigation patterns in order to achieve a certain testing coverage level. 
--Mirshokraie November-11-11 12:35:24 PM</t>
      </text>
    </comment>
    <comment authorId="0" ref="DI85">
      <text>
        <t xml:space="preserve">usage scenarios that are represented by UMMs acts as test cases. The navigation patterns that exceed the probability threshold become
the actual test cases.
Testing normally starts
with a high threshold to cover the most frequently visited Web
pages. --Mirshokraie November-11-11 1:05:18 PM</t>
      </text>
    </comment>
    <comment authorId="0" ref="DX85">
      <text>
        <t xml:space="preserve">If the number of errors exceeds f, for a total of n “hits”, the
estimated reliability R according to the Nelson model R=1-f/n</t>
      </text>
    </comment>
    <comment authorId="0" ref="EH85">
      <text>
        <t xml:space="preserve">verifying whether the
UMMs created for the application represented
actual usage patterns. Authors also investigate whether multiple set UMMs are
necessary to model a Web application. They also assess the reliability of the application.</t>
      </text>
    </comment>
    <comment authorId="0" ref="EI85">
      <text>
        <t xml:space="preserve">To measure the reliability of the UoA/CS Web application, we
calculated the site reliability and MTBF by feeding usage data and
failure data into Nelson’s model, and obtained reliability of
98.49% and MTBF = 66.40 “hits” for experiment 1, and reliability
of 98.38% and MTBF = 61.61 “hits” for experiment 2.
Both values indicated that the UoA/CS Web application was
stable and reliable</t>
      </text>
    </comment>
    <comment authorId="0" ref="EM85">
      <text>
        <t xml:space="preserve">paper "Measuring and modeling usage and reliability for statistical web testing"
see table1. reviews 9 other wat papers</t>
      </text>
    </comment>
    <comment authorId="0" ref="FW85">
      <text>
        <t xml:space="preserve">this paper just replicates the results of the pre-existing approach. Therefore, the server/client side technology is derived from the paper which proposed the approach. --Mirshokraie November-11-11 2:46:51 PM</t>
      </text>
    </comment>
    <comment authorId="0" ref="F86">
      <text>
        <t xml:space="preserve">VG: I added "Test method / technique=x", and "Test model=x"
extracted Empirical evidence
I cleaned BH and instead set value in BM
BJ? I cannot see "Test Automation" in this paper
There is "Fault seeding", thus DB='' (I erased it) and DC='x'
added 3 types to CZ
I guess Client-tier Web Technology is N/A. and EK=''. Focus in on JSP
</t>
      </text>
    </comment>
    <comment authorId="0" ref="BC86">
      <text>
        <t xml:space="preserve">based on GAs</t>
      </text>
    </comment>
    <comment authorId="0" ref="BE86">
      <text>
        <t xml:space="preserve">RDG (request dependence graph) </t>
      </text>
    </comment>
    <comment authorId="0" ref="BN86">
      <text>
        <t xml:space="preserve">A model of RDG was first
constructed according to the structural analysis of the application under test; and then transition
relations between pages and requests were extracted based on the request dependence graph. Finally, a
reasonable test suite was generated to cover as many fault sensitive transition relations as possible with
the aid of genetic algorithm</t>
      </text>
    </comment>
    <comment authorId="0" ref="BW86">
      <text>
        <t xml:space="preserve">A model of RDG was first
constructed according to the structural analysis of the application under test. Dependence relationship between web pages extracted by source code analysis of application</t>
      </text>
    </comment>
    <comment authorId="0" ref="BY86">
      <text>
        <t xml:space="preserve">seach based Test-case Design</t>
      </text>
    </comment>
    <comment authorId="0" ref="CM86">
      <text>
        <t xml:space="preserve">testing through jsp pages</t>
      </text>
    </comment>
    <comment authorId="0" ref="CO86">
      <text>
        <t xml:space="preserve">abstract: "...proposed an approach in terms of gray-box testing, combining user session data with request"</t>
      </text>
    </comment>
    <comment authorId="0" ref="CU86">
      <text>
        <t xml:space="preserve">user sessions</t>
      </text>
    </comment>
    <comment authorId="0" ref="DD86">
      <text>
        <t xml:space="preserve">User-session based
testing automatically generates test cases based
on user profiles. By capturing and
replaying user sessions</t>
      </text>
    </comment>
    <comment authorId="0" ref="DE86">
      <text>
        <t xml:space="preserve">from request dependence graph built automatically</t>
      </text>
    </comment>
    <comment authorId="0" ref="DH86">
      <text>
        <t xml:space="preserve">test cases</t>
      </text>
    </comment>
    <comment authorId="0" ref="DU86">
      <text>
        <t xml:space="preserve">3 types...
request coverage
data dependence transition relation coverage
link dependence transition relation coverage</t>
      </text>
    </comment>
    <comment authorId="0" ref="DW86">
      <text>
        <t xml:space="preserve">Section on "Fault seeding"
Table 3. Results of fault detection.</t>
      </text>
    </comment>
    <comment authorId="0" ref="EB86">
      <text>
        <t xml:space="preserve">Table 2</t>
      </text>
    </comment>
    <comment authorId="0" ref="ES86">
      <text>
        <t xml:space="preserve">(1) Can US-RDG perform well in web application testing? 
(2) How effective are the test cases generated through our approach in terms of request coverage, transition relation coverage and fault detection?</t>
      </text>
    </comment>
    <comment authorId="0" ref="EZ86">
      <text>
        <t xml:space="preserve">See Table 2. Results of test suite reduction. for details of comparison</t>
      </text>
    </comment>
    <comment authorId="0" ref="FV86">
      <text>
        <t xml:space="preserve">F1 (GUI faults)
F2 (Database operation faults)
F3 (Navigation faults)</t>
      </text>
    </comment>
    <comment authorId="0" ref="GD86">
      <text>
        <t xml:space="preserve">jsp</t>
      </text>
    </comment>
    <comment authorId="0" ref="F87">
      <text>
        <t xml:space="preserve">1)check BK: model extraction reajax 
fixed
--aysubetincan Fri Feb 24 2012 02:50:23 GMT+0200 (Turkey Standard Time)</t>
      </text>
    </comment>
    <comment authorId="0" ref="BD87">
      <text>
        <t xml:space="preserve">reAJAX: to extract the FSM of an Ajax application
 --vgarousi Thu Sep 29 2011 17:35:25 GMT-0600 (Mountain Daylight Time)</t>
      </text>
    </comment>
    <comment authorId="0" ref="BE87">
      <text>
        <t xml:space="preserve">testing based on FSM
 --vgarousi Thu Sep 29 2011 17:24:56 GMT-0600 (Mountain Daylight Time)</t>
      </text>
    </comment>
    <comment authorId="0" ref="BF87">
      <text>
        <t xml:space="preserve">FSM-based test coverage
 --vgarousi Thu Sep 29 2011 17:25:21 GMT-0600 (Mountain Daylight Time)</t>
      </text>
    </comment>
    <comment authorId="0" ref="BJ87">
      <text>
        <t xml:space="preserve">reAJAX: to extract the FSM of an Ajax application
 --vgarousi Thu Sep 29 2011 17:35:25 GMT-0600 (Mountain Daylight Time)</t>
      </text>
    </comment>
    <comment authorId="0" ref="BN87">
      <text>
        <t xml:space="preserve">They developed a tool called reAjax for automated FSM extraction and use the extracted model for generating test suites.</t>
      </text>
    </comment>
    <comment authorId="0" ref="BX87">
      <text>
        <t xml:space="preserve">to generate FSM and  execution traces 
 --vgarousi Thu Sep 29 2011 17:30:24 GMT-0600 (Mountain Daylight Time)</t>
      </text>
    </comment>
    <comment authorId="0" ref="DT87">
      <text>
        <t xml:space="preserve">FSM-edge coverage</t>
      </text>
    </comment>
    <comment authorId="0" ref="DW87">
      <text>
        <t xml:space="preserve">the fault detection capability ratio rFDC(S).</t>
      </text>
    </comment>
    <comment authorId="0" ref="ES87">
      <text>
        <t xml:space="preserve">RQ1: What is the test case distribution over sequence length k produced by HILL
and SA, with respect to SEM/ALT? (used chisquare test)
RQ2: What is the time required by HILL and SA for generating event sequences
from the FSMs, with respect to SEM/ALT?
RQ3: What is the ef fectiveness in f inding faults of HILL and SA compared to
SEM/ALT</t>
      </text>
    </comment>
    <comment authorId="0" ref="EZ87">
      <text>
        <t xml:space="preserve">
the use of the search-based algorithms HILL and SA seem to
be more effective than SEM and ALT in producing evenly distributed test suites
across different sequence length and they increase the overall test cases length, while keeping the test suite size small 2)    SA with fixed suite size seems to be more efficient in producing test suites. 3) to achieve reasonable performance,
search-based algorithms need at least a suite size of 100 or 200            see table 2 and 3 for test lenght results
see fig 6 for test distribution</t>
      </text>
    </comment>
    <comment authorId="0" ref="FD87">
      <text>
        <t xml:space="preserve">only 2 suts, but they are "quite typical Ajax applications, in terms of their
size, technology and implemented functionalitie"</t>
      </text>
    </comment>
    <comment authorId="0" ref="GM87">
      <text>
        <t xml:space="preserve">http://selab.fbk.eu/marchetto/tools/ajax/testing1/experimentData.zip
</t>
      </text>
    </comment>
    <comment authorId="0" ref="GP87">
      <text>
        <t xml:space="preserve">Two SUTs:
Tudu: 12 KLOC
Oryx: 200 KLOC: Javascript (63 KLOC) and Java (137 KLOC)</t>
      </text>
    </comment>
    <comment authorId="0" ref="F88">
      <text>
        <t xml:space="preserve">- Can we choose AF and AI as well? 
AF -&gt; model including control flow enabled by user operations 
AI -&gt; constraint-based approach for controlling the size of the model.
- Can we mark BP as well? (verifier operates statically on the program's source code)
 --Mirshokraie Tue 13 Mar 2012 11:24:28 AM PDT</t>
      </text>
    </comment>
    <comment authorId="0" ref="BC88">
      <text>
        <t xml:space="preserve">constraint-based approach for controlling the size of the model</t>
      </text>
    </comment>
    <comment authorId="0" ref="BJ88">
      <text>
        <t xml:space="preserve">fig 2</t>
      </text>
    </comment>
    <comment authorId="0" ref="BN88">
      <text>
        <t xml:space="preserve">present a technique for automatically
generating novel models of Web programs from
their source code and use this model for model checking</t>
      </text>
    </comment>
    <comment authorId="0" ref="CO88">
      <text>
        <t xml:space="preserve">properties are requirements. model is from source code --aysubetincan Sun Nov 13 2011 12:32:57 GMT+0200 (Turkey Standard Time)</t>
      </text>
    </comment>
    <comment authorId="0" ref="F89">
      <text>
        <t xml:space="preserve">Shouldn't (Functional) Testing AQ be x as well?
They also seem to analyze JavaScript, so CP=x?
Web-server-tier Web Technology, DB=x?
In the SUT info, we can perhaps put the examples they have in the paper: Yahoo Auto Classiﬁeds in Section 2.1, the Travelocity site, ...
DM=x?
 --vgarousi Sun Feb 26 2012 11:37:19 GMT-0700 (Mountain Standard Time)</t>
      </text>
    </comment>
    <comment authorId="0" ref="X89">
      <text>
        <t xml:space="preserve">Evaluation is weak. They say: "A detailed description of how VeriWeb performs form analysis, matching and completion, as well as of profile policies and the pro?le-re?nement iterative process, is omitted in this paper."
 --vgarousi Tue Aug 02 2011 16:43:49 GMT-0600 (Mountain Daylight Time)</t>
      </text>
    </comment>
    <comment authorId="0" ref="BD89">
      <text>
        <t xml:space="preserve">VeriWeb
 --vgarousi Sun Feb 26 2012 11:35:20 GMT-0700 (Mountain Standard Time)</t>
      </text>
    </comment>
    <comment authorId="0" ref="CS89">
      <text>
        <t xml:space="preserve">Navigational model inferred through crawling </t>
      </text>
    </comment>
    <comment authorId="0" ref="BA90">
      <text>
        <t xml:space="preserve">model checking</t>
      </text>
    </comment>
    <comment authorId="0" ref="BC90">
      <text>
        <t xml:space="preserve">the technique is proposed in previous paper. This paper proposes the tool</t>
      </text>
    </comment>
    <comment authorId="0" ref="BD90">
      <text>
        <t xml:space="preserve">in this paper we introduce a tool, able to transform UML diagrams in XMI files and to turn them into corresponding Web Application Graphs (WAGs). Then the tool translates the WAG in a SMV model finally used as input for the model checker NuSMV. It automatically performs verification of CTL specifications.</t>
      </text>
    </comment>
    <comment authorId="0" ref="BE90">
      <text>
        <t xml:space="preserve">We propose a mathematical model of a WA based on an extension of the
simple graph generally adopted to model pages and links between pages</t>
      </text>
    </comment>
    <comment authorId="0" ref="BJ90">
      <text>
        <t xml:space="preserve">We propose a mathematical model of a WA based on an extension of the
simple graph generally adopted to model pages and links between pages</t>
      </text>
    </comment>
    <comment authorId="0" ref="BN90">
      <text>
        <t xml:space="preserve">Their tool WAVer first performs the modeling of the WA and furthermore verify it by means of
a model checker</t>
      </text>
    </comment>
    <comment authorId="0" ref="BW90">
      <text>
        <t xml:space="preserve">model checking</t>
      </text>
    </comment>
    <comment authorId="0" ref="CA90">
      <text>
        <t xml:space="preserve">proposing a tool for test automation</t>
      </text>
    </comment>
    <comment authorId="0" ref="CG90">
      <text>
        <t xml:space="preserve">N/A model is the input.</t>
      </text>
    </comment>
    <comment authorId="0" ref="CM90">
      <text>
        <t xml:space="preserve">N/A</t>
      </text>
    </comment>
    <comment authorId="0" ref="CT90">
      <text>
        <t xml:space="preserve">the web applicaiton navigation model is created manually with UML</t>
      </text>
    </comment>
    <comment authorId="0" ref="DL90">
      <text>
        <t xml:space="preserve">CTL</t>
      </text>
    </comment>
    <comment authorId="0" ref="DO90">
      <text>
        <t xml:space="preserve">the verification is fully
automated because WAVer embeds NuSMV model checker which establish
system correctness.</t>
      </text>
    </comment>
    <comment authorId="0" ref="FZ90">
      <text>
        <t xml:space="preserve">can be any technology. Study is about verifying the design</t>
      </text>
    </comment>
    <comment authorId="0" ref="F91">
      <text>
        <t xml:space="preserve">I'm agree with selected items. --Mirshokraie Tue 13 Mar 2012 11:31:22 AM PDT</t>
      </text>
    </comment>
    <comment authorId="0" ref="T91">
      <text>
        <t xml:space="preserve">seems to be an extension of the above paper
 --vgarousi Tue Aug 02 2011 16:45:27 GMT-0600 (Mountain Daylight Time)</t>
      </text>
    </comment>
    <comment authorId="0" ref="FY91">
      <text>
        <t xml:space="preserve">p3: "In this paper, we will consider PHP for the server and Javascript for the
client."</t>
      </text>
    </comment>
    <comment authorId="0" ref="GP91">
      <text>
        <t xml:space="preserve">108+535+702+911+2475+11489+14431+34094+48315+69698+73180</t>
      </text>
    </comment>
    <comment authorId="0" ref="F92">
      <text>
        <t xml:space="preserve">- Can we mark AT as well?
V: right
- Perhaps we can choose BJ as well?
V: yes. added
 --Mirshokraie Tue 13 Mar 2012 12:04:11 PM PDT</t>
      </text>
    </comment>
    <comment authorId="0" ref="BH92">
      <text>
        <t xml:space="preserve">Experimental Comparison Study
</t>
      </text>
    </comment>
    <comment authorId="0" ref="CE92">
      <text>
        <t xml:space="preserve">and 5 types of customized test requirements 
 --vgarousi Fri Sep 30 2011 09:17:47 GMT-0600 (Mountain Daylight Time)</t>
      </text>
    </comment>
    <comment authorId="0" ref="CR92">
      <text>
        <t xml:space="preserve">user-session-based testing</t>
      </text>
    </comment>
    <comment authorId="0" ref="EZ92">
      <text>
        <t xml:space="preserve">section 4: 1) increase in complexity of requirements increased the size of the reduced test suite 2) statement coverage loss: no loss when reduced wrt complex requirements except 1 case (dspace) 2.b) in CPM case, reduced test suite cover different statements 2.c) in dspace name reduction looses more code ceoverage then sequencebasaed reduction 3) fault lost decreases as the complexity of requirements increases-most complex requirement has no loss. 4) larger test suites does not necessarilty uncover more faults --coverage is not propositional to fault detection 5)time and space complexity for test reduction increases as the requirement complexity increases (req compl:test reduction strategy) 6) </t>
      </text>
    </comment>
    <comment authorId="0" ref="FA92">
      <text>
        <t xml:space="preserve">seeded faults may be harder to detect than real faults</t>
      </text>
    </comment>
    <comment authorId="0" ref="FB92">
      <text>
        <t xml:space="preserve">oracle settings: minimize false positives at the risk of not detecting faults.</t>
      </text>
    </comment>
    <comment authorId="0" ref="FD92">
      <text>
        <t xml:space="preserve">small number of subjects</t>
      </text>
    </comment>
    <comment authorId="0" ref="GP92">
      <text>
        <t xml:space="preserve">999+7791+8947+61729
Same as paper "WebVizOr..."
Four SUTs:
Masplas: 999
Book: 7791
CPM: 8947
DSpace: 61729
 --vgarousi Thu Sep 29 2011 17:45:49 GMT-0600 (Mountain Daylight Time)</t>
      </text>
    </comment>
    <comment authorId="0" ref="F93">
      <text>
        <t xml:space="preserve">agree with selected items. --Mirshokraie March-13-12 9:46:12 PM</t>
      </text>
    </comment>
    <comment authorId="0" ref="T93">
      <text>
        <t xml:space="preserve">Interesting book chapter. 
It adds the the reliability flavor to web testing.
 --vgarousi Tue Aug 02 2011 16:50:30 GMT-0600 (Mountain Daylight Time)</t>
      </text>
    </comment>
    <comment authorId="0" ref="BA93">
      <text>
        <t xml:space="preserve">Reliability </t>
      </text>
    </comment>
    <comment authorId="0" ref="BE93">
      <text>
        <t xml:space="preserve">statistical testing models: actual usage scenarios and related frequencies
 --vgarousi Sun Sep 25 2011 20:01:28 GMT-0600 (Mountain Daylight Time)</t>
      </text>
    </comment>
    <comment authorId="0" ref="CE93">
      <text>
        <t xml:space="preserve">
 --vgarousi Sun Sep 25 2011 20:06:17 GMT-0600 (Mountain Daylight Time)</t>
      </text>
    </comment>
    <comment authorId="0" ref="CP93">
      <text>
        <t xml:space="preserve">Test cases generated by following state transitions in Unified Markov Models
 --vgarousi Sun Sep 25 2011 20:03:14 GMT-0600 (Mountain Daylight Time)</t>
      </text>
    </comment>
    <comment authorId="0" ref="CR93">
      <text>
        <t xml:space="preserve">Unified Markov Models are generated from logs</t>
      </text>
    </comment>
    <comment authorId="0" ref="DE93">
      <text>
        <t xml:space="preserve">from state-charts  built manually 
--vgarousi Sun Sep 25 2011 20:06:55 GMT-0600 (Mountain Daylight Time)</t>
      </text>
    </comment>
    <comment authorId="0" ref="DI93">
      <text>
        <t xml:space="preserve">paths (sequence of web pages)
 --vgarousi Sun Sep 25 2011 20:07:24 GMT-0600 (Mountain Daylight Time)</t>
      </text>
    </comment>
    <comment authorId="0" ref="EH93">
      <text>
        <t xml:space="preserve">reliability analysis of an actual website: www.seas.smu.edu
 --vgarousi Sun Sep 25 2011 20:07:49 GMT-0600 (Mountain Daylight Time)</t>
      </text>
    </comment>
    <comment authorId="0" ref="EZ93">
      <text>
        <t xml:space="preserve">See Sec. 6.5</t>
      </text>
    </comment>
    <comment authorId="0" ref="FH93">
      <text>
        <t xml:space="preserve">limitations are given.(see section 7) (Threats are not discriminated to types) Also section 5.5 discusses the soundness of the study</t>
      </text>
    </comment>
    <comment authorId="0" ref="FJ93">
      <text>
        <t xml:space="preserve">the study applied on real world systems. SMU/SEAS and KDE web sites</t>
      </text>
    </comment>
    <comment authorId="0" ref="FK93">
      <text>
        <t xml:space="preserve">The experiments can be called as case study. Applied on real world web applications. Their system administrator, Merlin
Wilkerson, help in gathering and interpreting the web logs for the SMU/SEAS
web site, and Dirk Mueller from the KDE project helped to obtain and interpret
the access logs for the KDE web site and deal with various data problems</t>
      </text>
    </comment>
    <comment authorId="0" ref="FL93">
      <text>
        <t xml:space="preserve">Industry professionals helped the gathering data or dealing with problems. But they conducted study themselves. So i gave 0.5</t>
      </text>
    </comment>
    <comment authorId="0" ref="FO93">
      <text>
        <t xml:space="preserve">see the error types in Table 2
 --vgarousi Sun Sep 25 2011 20:08:27 GMT-0600 (Mountain Daylight Time)</t>
      </text>
    </comment>
    <comment authorId="0" ref="S94">
      <text>
        <t xml:space="preserve">we present
a novel technique that can (1) detect cross-browser issues au-
tomatically, (2) target both visual and functional problems, and
(3) guide developers in identifying the causes of the identified
problems</t>
      </text>
    </comment>
    <comment authorId="0" ref="BC94">
      <text>
        <t xml:space="preserve">A novel technique for automatically detecting crossbrowser
issues by combining the analysis of DOM and
visual information</t>
      </text>
    </comment>
    <comment authorId="0" ref="BD94">
      <text>
        <t xml:space="preserve">The implementation of the technique in a tool, WEBDIFF</t>
      </text>
    </comment>
    <comment authorId="0" ref="BH94">
      <text>
        <t xml:space="preserve">A classification of cross-browser issues for web applications</t>
      </text>
    </comment>
    <comment authorId="0" ref="BV94">
      <text>
        <t xml:space="preserve">target both visual and functional problems</t>
      </text>
    </comment>
    <comment authorId="0" ref="BX94">
      <text>
        <t xml:space="preserve">Our approach is dynamic and is based on differential
testing</t>
      </text>
    </comment>
    <comment authorId="0" ref="CA94">
      <text>
        <t xml:space="preserve">automated cross browser compatibility testing tool</t>
      </text>
    </comment>
    <comment authorId="0" ref="CC94">
      <text>
        <t xml:space="preserve">our technique could be combined with these
tools and provide an automated test oracle that can compare
executions across web browsers.</t>
      </text>
    </comment>
    <comment authorId="0" ref="CG94">
      <text>
        <t xml:space="preserve">working on DOM</t>
      </text>
    </comment>
    <comment authorId="0" ref="CU94">
      <text>
        <t xml:space="preserve">document object model(DOM)</t>
      </text>
    </comment>
    <comment authorId="0" ref="CZ94">
      <text>
        <t xml:space="preserve">When it receives the file from the server,
it parses it, discovers the resources linked in the file, and
requests them</t>
      </text>
    </comment>
    <comment authorId="0" ref="DF94">
      <text>
        <t xml:space="preserve">structural analysis of DOM and visual analysis of web page</t>
      </text>
    </comment>
    <comment authorId="0" ref="DJ94">
      <text>
        <t xml:space="preserve">In fact, our technique could be combined with these
tools and provide an automated test oracle that can compare
executions across web browsers</t>
      </text>
    </comment>
    <comment authorId="0" ref="DV94">
      <text>
        <t xml:space="preserve"># of true positives,false positives, visual differences, general appearance differences, </t>
      </text>
    </comment>
    <comment authorId="0" ref="EA94">
      <text>
        <t xml:space="preserve">The analysis of each of the nine web pages
considered took WEBDIFF less than five minutes to complete.
Given that this time is clearly acceptable,</t>
      </text>
    </comment>
    <comment authorId="0" ref="ES94">
      <text>
        <t xml:space="preserve">RQ1: Can WEBDIFF identify cross-browser issues in web
applications?
RQ2: Can WEBDIFF identify such issues without generating
too many false positives?</t>
      </text>
    </comment>
    <comment authorId="0" ref="FK94">
      <text>
        <t xml:space="preserve">laboratory experiment</t>
      </text>
    </comment>
    <comment authorId="0" ref="FL94">
      <text>
        <t xml:space="preserve">subjects are real web pages</t>
      </text>
    </comment>
    <comment authorId="0" ref="FM94">
      <text>
        <t xml:space="preserve">no information about scale</t>
      </text>
    </comment>
    <comment authorId="0" ref="FV94">
      <text>
        <t xml:space="preserve">Layout Issues:
differences in element position, size, visibility, or appearance
Functionality Issues
</t>
      </text>
    </comment>
    <comment authorId="0" ref="GC94">
      <text>
        <t xml:space="preserve">subject is php but technique is independent from server side technology</t>
      </text>
    </comment>
    <comment authorId="0" ref="AW95">
      <text>
        <t xml:space="preserve">crossbrowser</t>
      </text>
    </comment>
    <comment authorId="0" ref="BC95">
      <text>
        <t xml:space="preserve">We present a technique to automatically generate tests
for Web 2.0 applications</t>
      </text>
    </comment>
    <comment authorId="0" ref="BD95">
      <text>
        <t xml:space="preserve">WEBMATE</t>
      </text>
    </comment>
    <comment authorId="0" ref="BE95">
      <text>
        <t xml:space="preserve">derives a
so-called usage model. This model captures the logical order of all possible
ways to interact with the application</t>
      </text>
    </comment>
    <comment authorId="0" ref="BJ95">
      <text>
        <t xml:space="preserve">called usage model
Fig 1</t>
      </text>
    </comment>
    <comment authorId="0" ref="BN95">
      <text>
        <t xml:space="preserve">Their tool WEBMATE learns a usage model that describes all different functions of the web application. Use this model for automated test case generation.</t>
      </text>
    </comment>
    <comment authorId="0" ref="BX95">
      <text>
        <t xml:space="preserve">generating system tests</t>
      </text>
    </comment>
    <comment authorId="0" ref="BY95">
      <text>
        <t xml:space="preserve">generating test cases</t>
      </text>
    </comment>
    <comment authorId="0" ref="CA95">
      <text>
        <t xml:space="preserve">tool automates the test case generation process</t>
      </text>
    </comment>
    <comment authorId="0" ref="CB95">
      <text>
        <t xml:space="preserve">WEBMATE basically generates executions</t>
      </text>
    </comment>
    <comment authorId="0" ref="CC95">
      <text>
        <t xml:space="preserve">In this section, we present an application of WEBMATE where it is
possible to provide such an automated oracle</t>
      </text>
    </comment>
    <comment authorId="0" ref="CG95">
      <text>
        <t xml:space="preserve">generating test cases for system level testing using client side code</t>
      </text>
    </comment>
    <comment authorId="0" ref="CN95">
      <text>
        <t xml:space="preserve">using client side code bu t server side is still black box</t>
      </text>
    </comment>
    <comment authorId="0" ref="CO95">
      <text>
        <t xml:space="preserve">extracted usage model is used for generating</t>
      </text>
    </comment>
    <comment authorId="0" ref="CS95">
      <text>
        <t xml:space="preserve">While exploring the application, WEBMATE
learns a usage model that describes all different functions of the web application</t>
      </text>
    </comment>
    <comment authorId="0" ref="CY95">
      <text>
        <t xml:space="preserve">To evaluate WEBMATE’s effectiveness when analyzing Web 2.0 applications, we
compare the coverage achieved by WEBMATE to that achieved by a traditional
crawler</t>
      </text>
    </comment>
    <comment authorId="0" ref="CZ95">
      <text>
        <t xml:space="preserve">tool act as a crawler</t>
      </text>
    </comment>
    <comment authorId="0" ref="DI95">
      <text>
        <t xml:space="preserve">extracted usage model can be accepted as a test requirement</t>
      </text>
    </comment>
    <comment authorId="0" ref="DJ95">
      <text>
        <t xml:space="preserve">In this section, we present an application of WEBMATE where it is
possible to provide such an automated oracle</t>
      </text>
    </comment>
    <comment authorId="0" ref="DK95">
      <text>
        <t xml:space="preserve">generating system test driver code. (WEBMATE basically generates executions)</t>
      </text>
    </comment>
    <comment authorId="0" ref="DS95">
      <text>
        <t xml:space="preserve">line coverage is measured by Cobertura
we
compare the coverage achieved by WEBMATE to that achieved by a traditional
crawler for a set of subjects.</t>
      </text>
    </comment>
    <comment authorId="0" ref="EM95">
      <text>
        <t xml:space="preserve">scrappy.org</t>
      </text>
    </comment>
    <comment authorId="0" ref="FD95">
      <text>
        <t xml:space="preserve">As our study only includes five subjects, we cannot claim
that the results generalize to arbitrary applications. In our experiments, the
degree of coverage achieved by WEBMATE differs strongly between subjects,
so we cannot make any predictions as to how WEBMATE would perform for
other applications</t>
      </text>
    </comment>
    <comment authorId="0" ref="FJ95">
      <text>
        <t xml:space="preserve">performed in laboratory situation but it can be accepted as representative of real usage.</t>
      </text>
    </comment>
    <comment authorId="0" ref="FK95">
      <text>
        <t xml:space="preserve">laboratory experiment on open source software</t>
      </text>
    </comment>
    <comment authorId="0" ref="FL95">
      <text>
        <t xml:space="preserve">subjects are not from industry. (Or it is not mentioned)</t>
      </text>
    </comment>
    <comment authorId="0" ref="FM95">
      <text>
        <t xml:space="preserve">Our subjects range from small projects (1,448 lines
of code) to fully blown web applications (65,692 lines of code).</t>
      </text>
    </comment>
    <comment authorId="0" ref="GI95">
      <text>
        <t xml:space="preserve">This approach has the advantage that it avoids the heterogeneity on the
server side</t>
      </text>
    </comment>
    <comment authorId="0" ref="GM95">
      <text>
        <t xml:space="preserve">they are distributing it but not free</t>
      </text>
    </comment>
    <comment authorId="0" ref="F96">
      <text>
        <t xml:space="preserve">-Isn't it a kind of testing tool (AE) as well?
V: right. modified
 --Mirshokraie Tue 13 Mar 2012 02:05:52 PM PDT</t>
      </text>
    </comment>
    <comment authorId="0" ref="Z96">
      <text>
        <t xml:space="preserve">but isn't the tool also supporting test oracles?
 --vgarousi Wed Aug 03 2011 16:48:29 GMT-0600 (Mountain Daylight Time)</t>
      </text>
    </comment>
    <comment authorId="0" ref="BD96">
      <text>
        <t xml:space="preserve">a tool for Visualization of Automated test Oracles and test results</t>
      </text>
    </comment>
    <comment authorId="0" ref="CC96">
      <text>
        <t xml:space="preserve">a tool for Visualization of Automated test Oracles and test results
 --vgarousi Sat Oct 01 2011 08:50:44 GMT-0600 (Mountain Daylight Time)</t>
      </text>
    </comment>
    <comment authorId="0" ref="CN96">
      <text>
        <t xml:space="preserve">HTML source code
 --vgarousi Sat Oct 01 2011 08:52:17 GMT-0600 (Mountain Daylight Time)</t>
      </text>
    </comment>
    <comment authorId="0" ref="CX96">
      <text>
        <t xml:space="preserve">based on earlier work "Document comparator":
Automated oracle comparators for testing web applications
--vgarousi Sat Oct 01 2011 08:52:50 GMT-0600 (Mountain Daylight Time)</t>
      </text>
    </comment>
    <comment authorId="0" ref="DS96">
      <text>
        <t xml:space="preserve">see table 2. statement coverage:90.5%, 56.8%,78.4%,51.6%
</t>
      </text>
    </comment>
    <comment authorId="0" ref="DW96">
      <text>
        <t xml:space="preserve">see table3.
exposed/seeded:22/28;36/39;96/135;20/50--total:174/252</t>
      </text>
    </comment>
    <comment authorId="0" ref="EA96">
      <text>
        <t xml:space="preserve">"anaylzing tens of thousand responses took a few days rather than weeks ...manually"</t>
      </text>
    </comment>
    <comment authorId="0" ref="EC96">
      <text>
        <t xml:space="preserve">table2:3.6KB,10.7KB,2.0KB, 12.5KB</t>
      </text>
    </comment>
    <comment authorId="0" ref="EM96">
      <text>
        <t xml:space="preserve">only incluided the oracles from: "We analyzed test results from automated oracle comparators presented by Sprenkle et al. [20]."</t>
      </text>
    </comment>
    <comment authorId="0" ref="FG96">
      <text>
        <t xml:space="preserve">a brief information about study and SUT characteristics are given</t>
      </text>
    </comment>
    <comment authorId="0" ref="FK96">
      <text>
        <t xml:space="preserve">laboratory experiment</t>
      </text>
    </comment>
    <comment authorId="0" ref="GM96">
      <text>
        <t xml:space="preserve">http://www.eecis.udel.edu/~hiper/webvizor
 --vgarousi Sat Oct 01 2011 08:55:46 GMT-0600 (Mountain Daylight Time)</t>
      </text>
    </comment>
    <comment authorId="0" ref="GP96">
      <text>
        <t xml:space="preserve">999+7791+8947+61729
Same as paper "Web Application Testing with Customized ..."
Four SUTs:
Masplas: 999
Book: 7791
CPM: 8947
DSpace: 61729
 --vgarousi Sat Oct 01 2011 08:56:14 GMT-0600 (Mountain Daylight Time)</t>
      </text>
    </comment>
    <comment authorId="0" ref="F97">
      <text>
        <t xml:space="preserve">- Is it a test method? 
V: right. AD is now removed
--Mirshokraie Tue 13 Mar 2012 01:04:15 PM PDT</t>
      </text>
    </comment>
    <comment authorId="0" ref="X97">
      <text>
        <t xml:space="preserve">I have border line feeling for its evaluation
 --vgarousi Wed Aug 03 2011 17:22:52 GMT-0600 (Mountain Daylight Time)</t>
      </text>
    </comment>
    <comment authorId="0" ref="BD97">
      <text>
        <t xml:space="preserve">a framework called WIT
 --vgarousi Sat Oct 01 2011 08:57:44 GMT-0600 (Mountain Daylight Time)</t>
      </text>
    </comment>
    <comment authorId="0" ref="CU97">
      <text>
        <t xml:space="preserve">Just a tool for automation of web testing. Assumes test cases have been derived already
 --vgarousi Sat Oct 01 2011 09:01:45 GMT-0600 (Mountain Daylight Time)</t>
      </text>
    </comment>
    <comment authorId="0" ref="DF97">
      <text>
        <t xml:space="preserve">Just a tool for automation of web testing. Assumes test cases have been derived already
 --vgarousi Sat Oct 01 2011 09:01:45 GMT-0600 (Mountain Daylight Time)</t>
      </text>
    </comment>
    <comment authorId="0" ref="EO97">
      <text>
        <t xml:space="preserve">just a usage scenario
 --vgarousi Sat Oct 01 2011 09:02:50 GMT-0600 (Mountain Daylight Time)</t>
      </text>
    </comment>
    <comment authorId="0" ref="GK97">
      <text>
        <t xml:space="preserve">portlet
 --vgarousi Sat Oct 01 2011 09:05:40 GMT-0600 (Mountain Daylight Time)</t>
      </text>
    </comment>
    <comment authorId="0" ref="GM97">
      <text>
        <t xml:space="preserve">http://sourceforge.net/projects/wit-ict/files/wit-ict/
 --vgarousi Sat Oct 01 2011 09:08:12 GMT-0600 (Mountain Daylight Time)</t>
      </text>
    </comment>
  </commentList>
</comments>
</file>

<file path=xl/comments2.xml><?xml version="1.0" encoding="utf-8"?>
<comments xmlns:r="http://schemas.openxmlformats.org/officeDocument/2006/relationships" xmlns="http://schemas.openxmlformats.org/spreadsheetml/2006/main">
  <authors>
    <author/>
  </authors>
  <commentList>
    <comment authorId="0" ref="A330">
      <text>
        <t xml:space="preserve">Based on classification/terminology by Offutt in his book:
http://cs.gmu.edu/~offutt/softwaretest/
 --vgarousi Tue Aug 02 2011 09:45:08 GMT-0600 (Mountain Daylight Time)</t>
      </text>
    </comment>
    <comment authorId="0" ref="A331">
      <text>
        <t xml:space="preserve">From Jeff Offutt: "Design test input values to satisfy coverage criteria or other engineering goal"
 --vgarousi Tue Aug 02 2011 09:46:07 GMT-0600 (Mountain Daylight Time)</t>
      </text>
    </comment>
    <comment authorId="0" ref="A332">
      <text>
        <t xml:space="preserve">From Jeff Offutt: "Design input test values based on domain knowledge of the program and human knowledge of testing
 --vgarousi Tue Aug 02 2011 09:46:17 GMT-0600 (Mountain Daylight Time)</t>
      </text>
    </comment>
    <comment authorId="0" ref="A333">
      <text>
        <t xml:space="preserve">From Jeff Offutt: "Test Automation, 	Embed test values into executable test code (scripts)
 --vgarousi Tue Aug 02 2011 09:46:25 GMT-0600 (Mountain Daylight Time)</t>
      </text>
    </comment>
    <comment authorId="0" ref="A334">
      <text>
        <t xml:space="preserve">From Jeff Offutt: "Run tests on the software and record the results
 --vgarousi Tue Aug 02 2011 09:46:36 GMT-0600 (Mountain Daylight Time)</t>
      </text>
    </comment>
    <comment authorId="0" ref="A335">
      <text>
        <t xml:space="preserve">From Jeff Offutt: "Evaluate results of testing (pass/fail), a.k.a. test verdict, and report results to developers
 --vgarousi Tue Aug 02 2011 09:47:13 GMT-0600 (Mountain Daylight Time)</t>
      </text>
    </comment>
    <comment authorId="0" ref="B358">
      <text>
        <t xml:space="preserve">From Jeff Offutt: "Design test input values to satisfy coverage criteria or other engineering goal"
 --vgarousi Tue Aug 02 2011 09:46:07 GMT-0600 (Mountain Daylight Time)</t>
      </text>
    </comment>
    <comment authorId="0" ref="C358">
      <text>
        <t xml:space="preserve">From Jeff Offutt: "Design input test values based on domain knowledge of the program and human knowledge of testing
 --vgarousi Tue Aug 02 2011 09:46:17 GMT-0600 (Mountain Daylight Time)</t>
      </text>
    </comment>
    <comment authorId="0" ref="D358">
      <text>
        <t xml:space="preserve">From Jeff Offutt: "Test Automation, 	Embed test values into executable test code (scripts)
 --vgarousi Tue Aug 02 2011 09:46:25 GMT-0600 (Mountain Daylight Time)</t>
      </text>
    </comment>
    <comment authorId="0" ref="E358">
      <text>
        <t xml:space="preserve">From Jeff Offutt: "Run tests on the software and record the results
 --vgarousi Tue Aug 02 2011 09:46:36 GMT-0600 (Mountain Daylight Time)</t>
      </text>
    </comment>
    <comment authorId="0" ref="F358">
      <text>
        <t xml:space="preserve">From Jeff Offutt: "Evaluate results of testing (pass/fail), a.k.a. test verdict, and report results to developers
 --vgarousi Tue Aug 02 2011 09:47:13 GMT-0600 (Mountain Daylight Time)</t>
      </text>
    </comment>
    <comment authorId="0" ref="K358">
      <text>
        <t xml:space="preserve">From Jeff Offutt: "Design test input values to satisfy coverage criteria or other engineering goal"
 --vgarousi Tue Aug 02 2011 09:46:07 GMT-0600 (Mountain Daylight Time)</t>
      </text>
    </comment>
    <comment authorId="0" ref="L358">
      <text>
        <t xml:space="preserve">From Jeff Offutt: "Design input test values based on domain knowledge of the program and human knowledge of testing
 --vgarousi Tue Aug 02 2011 09:46:17 GMT-0600 (Mountain Daylight Time)</t>
      </text>
    </comment>
    <comment authorId="0" ref="M358">
      <text>
        <t xml:space="preserve">From Jeff Offutt: "Test Automation, 	Embed test values into executable test code (scripts)
 --vgarousi Tue Aug 02 2011 09:46:25 GMT-0600 (Mountain Daylight Time)</t>
      </text>
    </comment>
    <comment authorId="0" ref="N358">
      <text>
        <t xml:space="preserve">From Jeff Offutt: "Run tests on the software and record the results
 --vgarousi Tue Aug 02 2011 09:46:36 GMT-0600 (Mountain Daylight Time)</t>
      </text>
    </comment>
    <comment authorId="0" ref="O358">
      <text>
        <t xml:space="preserve">From Jeff Offutt: "Evaluate results of testing (pass/fail), a.k.a. test verdict, and report results to developers
 --vgarousi Tue Aug 02 2011 09:47:13 GMT-0600 (Mountain Daylight Time)</t>
      </text>
    </comment>
    <comment authorId="0" ref="A464">
      <text>
        <t xml:space="preserve">e.g., use case, UML diagrams, FSM</t>
      </text>
    </comment>
    <comment authorId="0" ref="A465">
      <text>
        <t xml:space="preserve">type: Session or Query Symbolic execution logs
, operational proﬁles</t>
      </text>
    </comment>
    <comment authorId="0" ref="A469">
      <text>
        <t xml:space="preserve">for function, HTML element, global variables </t>
      </text>
    </comment>
    <comment authorId="0" ref="A613">
      <text>
        <t xml:space="preserve">put 1 whenever applicable
MORE THAN ONE can be selected
 --vgarousi Mon Aug 01 2011 14:13:24 GMT-0600 (Mountain Daylight Time)</t>
      </text>
    </comment>
    <comment authorId="0" ref="A617">
      <text>
        <t xml:space="preserve">e.g., in JUnit
 --vgarousi Thu Sep 29 2011 16:03:50 GMT-0600 (Mountain Daylight Time)</t>
      </text>
    </comment>
    <comment authorId="0" ref="A653">
      <text>
        <t xml:space="preserve">of code, model 
--vgarousi Mon Jan 23 2012 10:50:47 GMT-0700 (Mountain Standard Time)</t>
      </text>
    </comment>
    <comment authorId="0" ref="A658">
      <text>
        <t xml:space="preserve">example</t>
      </text>
    </comment>
    <comment authorId="0" ref="A659">
      <text>
        <t xml:space="preserve">should be broken down more
 --vgarousi Fri Nov 11 2011 12:56:19 GMT-0700 (Mountain Standard Time)</t>
      </text>
    </comment>
  </commentList>
</comments>
</file>

<file path=xl/comments3.xml><?xml version="1.0" encoding="utf-8"?>
<comments xmlns:r="http://schemas.openxmlformats.org/officeDocument/2006/relationships" xmlns="http://schemas.openxmlformats.org/spreadsheetml/2006/main">
  <authors>
    <author/>
  </authors>
  <commentList>
    <comment authorId="0" ref="AP1">
      <text>
        <t xml:space="preserve">From paper: "Systematic Mapping Studies in Software Engineering"
</t>
      </text>
    </comment>
    <comment authorId="0" ref="AW1">
      <text>
        <t xml:space="preserve">From paper: "Systematic Mapping Studies in Software Engineering"
it seems to me that the types 1, 2, and 3 are related, but in increasing order of "maturity"
</t>
      </text>
    </comment>
    <comment authorId="0" ref="BG1">
      <text>
        <t xml:space="preserve">Based on classification/terminology by Offutt in his book:
http://cs.gmu.edu/~offutt/softwaretest/
 --vgarousi Tue Aug 02 2011 09:45:08 GMT-0600 (Mountain Daylight Time)</t>
      </text>
    </comment>
    <comment authorId="0" ref="CN1">
      <text>
        <t xml:space="preserve">put 1 whenever applicable
MORE THAN ONE can be selected
 --vgarousi Mon Aug 01 2011 14:13:24 GMT-0600 (Mountain Daylight Time)</t>
      </text>
    </comment>
    <comment authorId="0" ref="C2">
      <text>
        <t xml:space="preserve">please mark the papers you like to review with your name in cells
We will then assign the ones not taken
 --vgarousi Thu Aug 04 2011 15:17:19 GMT-0600 (Mountain Daylight Time)</t>
      </text>
    </comment>
    <comment authorId="0" ref="F2">
      <text>
        <t xml:space="preserve">Please put your peer review comments on the cells below, in the NOTES area
 --vgarousi Mon Jan 30 2012 12:16:12 GMT-0700 (Mountain Standard Time)</t>
      </text>
    </comment>
    <comment authorId="0" ref="G2">
      <text>
        <t xml:space="preserve">x would mean review is done
x/? clarifications needed
x/x would mean both review and revisions  based on reviews are done
 --vgarousi Sun Feb 26 2012 11:54:49 GMT-0700 (Mountain Standard Time)</t>
      </text>
    </comment>
    <comment authorId="0" ref="O2">
      <text>
        <t xml:space="preserve">Is the paper relevant to functional Web app testing and analysis (for purpose of verification)?
 --vgarousi Mon Aug 01 2011 16:33:58 GMT-0600 (Mountain Daylight Time)</t>
      </text>
    </comment>
    <comment authorId="0" ref="S2">
      <text>
        <t xml:space="preserve">Is there any evaluation in the paper and whether it is sound? For survey papers, we will not apply this. For technical and experimental ones, we will apply
Check: If there is a newer journal paper of a conference paper, and if the technique has not changed, then just use the journal version.
 --vgarousi Mon Aug 01 2011 16:34:08 GMT-0600 (Mountain Daylight Time)</t>
      </text>
    </comment>
    <comment authorId="0" ref="AG2">
      <text>
        <t xml:space="preserve">C: conferece
J: Journal
W: Workshop
M: Magazine
S: Symposium 
--vgarousi Wed Jul 27 2011 17:01:16 GMT-0600 (Mountain Daylight Time)</t>
      </text>
    </comment>
    <comment authorId="0" ref="AH2">
      <text>
        <t xml:space="preserve">Taken from Google Scholar</t>
      </text>
    </comment>
    <comment authorId="0" ref="AW2">
      <text>
        <t xml:space="preserve">From paper: "Systematic Mapping Studies in Software Engineering"
A solution for a problem is proposed, the solution can be either novel or a signiﬁcant
extension of an existing technique. The potential beneﬁts and the applicability of the
solution is shown by a small example or a good line of argumentation.</t>
      </text>
    </comment>
    <comment authorId="0" ref="AX2">
      <text>
        <t xml:space="preserve">From paper: "Systematic Mapping Studies in Software Engineering"
Techniques investigated are novel and have not yet been implemented in practice.
Techniques used are for example experiments, i.e., work done in the lab.</t>
      </text>
    </comment>
    <comment authorId="0" ref="AY2">
      <text>
        <t xml:space="preserve">From paper: "Systematic Mapping Studies in Software Engineering"
Techniques are implemented in practice and an evaluation of the technique is conducted.
That means, it is shown how the technique is implemented in practice (solution
implementation) and what are the consequences of the implementation in terms of
beneﬁts and drawbacks (implementation evaluation). This also includes to identify
problems in industry.</t>
      </text>
    </comment>
    <comment authorId="0" ref="BG2">
      <text>
        <t xml:space="preserve">From Jeff Offutt: "Design test input values to satisfy coverage criteria or other engineering goal"
 --vgarousi Tue Aug 02 2011 09:46:07 GMT-0600 (Mountain Daylight Time)</t>
      </text>
    </comment>
    <comment authorId="0" ref="BH2">
      <text>
        <t xml:space="preserve">From Jeff Offutt: "Design input test values based on domain knowledge of the program and human knowledge of testing
 --vgarousi Tue Aug 02 2011 09:46:17 GMT-0600 (Mountain Daylight Time)</t>
      </text>
    </comment>
    <comment authorId="0" ref="BI2">
      <text>
        <t xml:space="preserve">From Jeff Offutt: "Test Automation, 	Embed test values into executable test code (scripts)
 --vgarousi Tue Aug 02 2011 09:46:25 GMT-0600 (Mountain Daylight Time)</t>
      </text>
    </comment>
    <comment authorId="0" ref="BJ2">
      <text>
        <t xml:space="preserve">From Jeff Offutt: "Run tests on the software and record the results
 --vgarousi Tue Aug 02 2011 09:46:36 GMT-0600 (Mountain Daylight Time)</t>
      </text>
    </comment>
    <comment authorId="0" ref="BK2">
      <text>
        <t xml:space="preserve">From Jeff Offutt: "Evaluate results of testing (pass/fail), a.k.a. test verdict, and report results to developers
 --vgarousi Tue Aug 02 2011 09:47:13 GMT-0600 (Mountain Daylight Time)</t>
      </text>
    </comment>
    <comment authorId="0" ref="BV2">
      <text>
        <t xml:space="preserve">e.g., use case, UML diagrams, FSM</t>
      </text>
    </comment>
    <comment authorId="0" ref="BW2">
      <text>
        <t xml:space="preserve">for function, HTML element, global variables </t>
      </text>
    </comment>
    <comment authorId="0" ref="BX2">
      <text>
        <t xml:space="preserve">type: Session or Query Symbolic execution logs
, operational proﬁles</t>
      </text>
    </comment>
    <comment authorId="0" ref="CQ2">
      <text>
        <t xml:space="preserve">e.g., in JUnit
 --vgarousi Thu Sep 29 2011 16:03:50 GMT-0600 (Mountain Daylight Time)</t>
      </text>
    </comment>
    <comment authorId="0" ref="F3">
      <text>
        <t xml:space="preserve">Testing Level: I think it should be "Unit", since in white-box testing approach that they have, they derive test cases for each function/page (thus unit testing).
And System testing should be removed.
In "Type of the Evaluation Method", it should be: coverage (code, model)
For "Static Web Sites vs. Dynamic Web Apps", I think we should treat them as mutual exclusive. If it is dynamic, it will for sure support "static" pages too
The SUT name: wmforum
 --vgarousi Mon Jan 30 2012 11:26:08 GMT-0700 (Mountain Standard Time)</t>
      </text>
    </comment>
    <comment authorId="0" ref="EF3">
      <text>
        <t xml:space="preserve">114+370+72</t>
      </text>
    </comment>
    <comment authorId="0" ref="F4">
      <text>
        <t xml:space="preserve">I do not think it is a "Test method / technique", since it is a case study-based comparison of web testing techniques
So should be "other" (AI)-&gt;case study
WB testing is done here in unit level, so should "BC" be checked, also BQ=1?
And for same reason, BF be checked?
They apply BB testing techniques too, so BH=x, BN=x?
 --vgarousi Mon Jan 30 2012 11:26:08 GMT-0700 (Mountain Standard Time)</t>
      </text>
    </comment>
    <comment authorId="0" ref="G4">
      <text>
        <t xml:space="preserve">after comparison they propose their own technique, therefore AD.
can you please explain the reasons for other comments?
V: discussing in email
 --aysubetincan Tue Feb 28 2012 22:37:08 GMT+0200 (Turkey Standard Time)</t>
      </text>
    </comment>
    <comment authorId="0" ref="AU4">
      <text>
        <t xml:space="preserve">comparison</t>
      </text>
    </comment>
    <comment authorId="0" ref="BM4">
      <text>
        <t xml:space="preserve">since it is AJAX
 --vgarousi Sat Feb 18 2012 17:47:10 GMT-0700 (Mountain Standard Time)</t>
      </text>
    </comment>
    <comment authorId="0" ref="BY4">
      <text>
        <t xml:space="preserve">model from execution states</t>
      </text>
    </comment>
    <comment authorId="0" ref="EB4">
      <text>
        <t xml:space="preserve">they use a large number of tools, but no new one is presented
 --vgarousi Sat Feb 18 2012 17:55:46 GMT-0700 (Mountain Standard Time)</t>
      </text>
    </comment>
    <comment authorId="0" ref="F5">
      <text>
        <t xml:space="preserve">contribution: dont think a metric is proposed here. it is rather a name for their subalgorithm
cient-tier: add DOM
test artifact: add test data
technique used: it id not static analysis. code is executed. kind of concolic but there is no symbolic execution. dynamic analysis maybe?
testing activity: add automation and execution --aysubetincan Sat Feb 04 2012 17:29:27 GMT+0200 (Turkey Standard Time)</t>
      </text>
    </comment>
    <comment authorId="0" ref="AP5">
      <text>
        <t xml:space="preserve">a framework for feed-back directed testing of JavaScript applications. 
Several test generation algorithms are created by instantiating the framework with different prioritization functions and input generators that employ feedback mechanisms. --Mirshokraie October-04-11 10:36:35 PM</t>
      </text>
    </comment>
    <comment authorId="0" ref="AQ5">
      <text>
        <t xml:space="preserve">called Artemis</t>
      </text>
    </comment>
    <comment authorId="0" ref="AR5">
      <text>
        <t xml:space="preserve">It captures event-driven execution model and interaction with DOM. The framework is parameterized by: (i) an execution unit to model the browser and server, (ii) an input generator to produce new input sequences, (iii) a prioritizer to guide the exploration of the application’s state space. --Mirshokraie October-04-11 10:40:24 PM</t>
      </text>
    </comment>
    <comment authorId="0" ref="AS5">
      <text>
        <t xml:space="preserve">code coverage --Mirshokraie October-04-11 9:29:51 PM</t>
      </text>
    </comment>
    <comment authorId="0" ref="EF5">
      <text>
        <t xml:space="preserve">393, 250, 156, 256, 697, 156, 750, 2037, 568, 1857</t>
      </text>
    </comment>
    <comment authorId="0" ref="EI5">
      <text>
        <t xml:space="preserve">10 subjects --Mirshokraie October-04-11 12:43:38 PM</t>
      </text>
    </comment>
    <comment authorId="0" ref="F6">
      <text>
        <t xml:space="preserve">1)experiments performed on pages written in JSP and uses MySQL. (Sabnam  noted their implementation language-we asked for SUT language I believe)
 check coulm DE
2)framework includes record/replay as test technique. the contribution is test suite reduction but it uses record/replay
 --aysubetincan Thu Feb 09 2012 14:56:48 GMT+0200 (GTB Standard Time)</t>
      </text>
    </comment>
    <comment authorId="0" ref="G6">
      <text>
        <t xml:space="preserve">DE you mean tool name? --Mirshokraie Wed 14 Mar 2012 02:30:46 PM PDT</t>
      </text>
    </comment>
    <comment authorId="0" ref="AP6">
      <text>
        <t xml:space="preserve">They present an approach for achieving scalable user-session based testing of web applications. Concept analysis is used for clustering user sessions for test-suite reduction. --Mirshokraie October-04-11 11:35:11 PM</t>
      </text>
    </comment>
    <comment authorId="0" ref="AS6">
      <text>
        <t xml:space="preserve">Test suit reduction. --Mirshokraie October-04-11 11:37:09 PM</t>
      </text>
    </comment>
    <comment authorId="0" ref="BG6">
      <text>
        <t xml:space="preserve">Generating reduced size test suites to provide scalability.  </t>
      </text>
    </comment>
    <comment authorId="0" ref="BQ6">
      <text>
        <t xml:space="preserve">page-level, statement coverage </t>
      </text>
    </comment>
    <comment authorId="0" ref="BR6">
      <text>
        <t xml:space="preserve">coverage of functions, methods </t>
      </text>
    </comment>
    <comment authorId="0" ref="CL6">
      <text>
        <t xml:space="preserve">Using concept analysis to derive reduced test suites. 
--Mirshokraie Fri 07 Oct 2011 01:43:01 PM PDT</t>
      </text>
    </comment>
    <comment authorId="0" ref="CN6">
      <text>
        <t xml:space="preserve">Generates test cases with real data as input. Replay the test cases, and gather coverage information. --Mirshokraie October-05-11 12:40:38 AM</t>
      </text>
    </comment>
    <comment authorId="0" ref="CZ6">
      <text>
        <t xml:space="preserve">40 faults are injected --Mirshokraie October-05-11 12:49:59 AM</t>
      </text>
    </comment>
    <comment authorId="0" ref="DB6">
      <text>
        <t xml:space="preserve">replay time, oracle time </t>
      </text>
    </comment>
    <comment authorId="0" ref="DE6">
      <text>
        <t xml:space="preserve">test suite size</t>
      </text>
    </comment>
    <comment authorId="0" ref="EF6">
      <text>
        <t xml:space="preserve">bookstore web application --Mirshokraie October-05-11 1:16:02 AM</t>
      </text>
    </comment>
    <comment authorId="0" ref="F7">
      <text>
        <t xml:space="preserve">check BX there is a model as a test artifact --aysubetincan Thu Feb 09 2012 22:52:37 GMT+0200 (Turkey Standard Time)</t>
      </text>
    </comment>
    <comment authorId="0" ref="AU7">
      <text>
        <t xml:space="preserve">Empirical study to explore factors in building usage-based
navigation models and the effects on the resultant abstract test cases--Mirshokraie October-06-11 3:58:46 PM</t>
      </text>
    </comment>
    <comment authorId="0" ref="BG7">
      <text>
        <t xml:space="preserve">finding a practical approaches to construct
usage-based navigation models for test case generation. Goal: easily tuning statistical model-based automatic test case generators
toward generating tests closely related to user behavior
or toward new navigations without using large additional
test resources.
--Mirshokraie October-06-11 4:15:45 PM</t>
      </text>
    </comment>
    <comment authorId="0" ref="CK7">
      <text>
        <t xml:space="preserve">"One promising approach to automatic test generation is statistical model-based testing"</t>
      </text>
    </comment>
    <comment authorId="0" ref="CY7">
      <text>
        <t xml:space="preserve">to evaluate how well the generated abstract test cases
represent user sessions, they focus on the abstract test cases' coverage of sequences of requests. --Mirshokraie October-06-11 4:27:16 PM</t>
      </text>
    </comment>
    <comment authorId="0" ref="DP7">
      <text>
        <t xml:space="preserve">user-session testing done at server side --Mirshokraie October-06-11 4:32:15 PM</t>
      </text>
    </comment>
    <comment authorId="0" ref="EF7">
      <text>
        <t xml:space="preserve">602, 5279, 7430, 10718, 30847</t>
      </text>
    </comment>
    <comment authorId="0" ref="F8">
      <text>
        <t xml:space="preserve">I am thinking that Symbolic Execution is a type of "Dynamic Verification (analysis)", b'cos, we are dynamically run the code, thus "AS". What do you think?
It might be a good idea to clear the "AY" since this is not a testing paper, to prevent its impact on the charts and statistics later, same for "CC". 
 --vgarousi Mon Jan 30 2012 11:26:08 GMT-0700 (Mountain Standard Time)</t>
      </text>
    </comment>
    <comment authorId="0" ref="G8">
      <text>
        <t xml:space="preserve">here static and dynamic analyses are combined. real exe:dynamic, symbolic: static
threfore I checked both
--aysubetincan Mon Mar 05 2012 09:24:59 GMT+0200 (Turkey Standard Time)</t>
      </text>
    </comment>
    <comment authorId="0" ref="N8">
      <text>
        <t xml:space="preserve">to discuss
 --vgarousi Tue Aug 02 2011 06:36:10 GMT-0600 (Mountain Daylight Time)</t>
      </text>
    </comment>
    <comment authorId="0" ref="CR8">
      <text>
        <t xml:space="preserve">not testing
 --aysubetincan Mon Mar 05 2012 09:24:16 GMT+0200 (Turkey Standard Time)</t>
      </text>
    </comment>
    <comment authorId="0" ref="F9">
      <text>
        <t xml:space="preserve">There seems to be a proposed model as well "User Session Information Model", in page 3, thus AF=x?
I added the metric names on AG
Why is it a "process"? I think it should be instead a "Technique" as in the title.
A test suite minimization techniques as well, under AY?
 --vgarousi Mon Jan 30 2012 11:26:08 GMT-0700 (Mountain Standard Time)</t>
      </text>
    </comment>
    <comment authorId="0" ref="AS9">
      <text>
        <t xml:space="preserve">-Essentiality criterion
-Row dominance criterion
-Column dominance criterion
 --vgarousi Sun Feb 19 2012 17:40:27 GMT-0700 (Mountain Standard Time)</t>
      </text>
    </comment>
    <comment authorId="0" ref="BL9">
      <text>
        <t xml:space="preserve">test suite minimization</t>
      </text>
    </comment>
    <comment authorId="0" ref="CL9">
      <text>
        <t xml:space="preserve">classification of user logs
-vgarousi Mon Jan 23 2012 10:32:36 GMT-0700 (Mountain Standard Time)</t>
      </text>
    </comment>
    <comment authorId="0" ref="EE9">
      <text>
        <t xml:space="preserve">discussed in 2nd paragraph of Section 4
 --vgarousi Sun Feb 19 2012 19:07:02 GMT-0700 (Mountain Standard Time)</t>
      </text>
    </comment>
    <comment authorId="0" ref="EF9">
      <text>
        <t xml:space="preserve">bookstore web application </t>
      </text>
    </comment>
    <comment authorId="0" ref="F10">
      <text>
        <t xml:space="preserve">should AE=x ? it is more of a test method.
V: “A support tool, named WAT (Web Application Testing), is implemented to automate the testing process.”
 --Mirshokraie March-04-12 10:46:22 PM</t>
      </text>
    </comment>
    <comment authorId="0" ref="AQ10">
      <text>
        <t xml:space="preserve">"A support tool, named WAT (Web Application Testing), is implemented to automate the testing process.”</t>
      </text>
    </comment>
    <comment authorId="0" ref="BD10">
      <text>
        <t xml:space="preserve">data-flow WB testing 
interesting: at the method level, object level, and object cluster level, from low abstraction level to high abstraction level.
--vgarousi Tue Aug 09 2011 18:32:36 GMT-0600 (Mountain Daylight Time)</t>
      </text>
    </comment>
    <comment authorId="0" ref="BG10">
      <text>
        <t xml:space="preserve">def-use pair coverage
 --vgarousi Tue Aug 09 2011 20:16:18 GMT-0600 (Mountain Daylight Time)</t>
      </text>
    </comment>
    <comment authorId="0" ref="BI10">
      <text>
        <t xml:space="preserve">an agent-based framework  
(see Sec 3.2 of paper)
--vgarousi Tue Aug 09 2011 20:17:33 GMT-0600 (Mountain Daylight Time)</t>
      </text>
    </comment>
    <comment authorId="0" ref="BO10">
      <text>
        <t xml:space="preserve">JS in HTML
JSP in server</t>
      </text>
    </comment>
    <comment authorId="0" ref="BR10">
      <text>
        <t xml:space="preserve">WB, Object cluster level testing
 --vgarousi Tue Aug 09 2011 20:39:48 GMT-0600 (Mountain Daylight Time)</t>
      </text>
    </comment>
    <comment authorId="0" ref="CE10">
      <text>
        <t xml:space="preserve">using agents, goals: Minimize Cost and Maximize Coverage.
 --vgarousi Tue Aug 09 2011 20:44:52 GMT-0600 (Mountain Daylight Time)</t>
      </text>
    </comment>
    <comment authorId="0" ref="CL10">
      <text>
        <t xml:space="preserve">using agents, goals: Minimize Cost and Maximize Coverage.
 --vgarousi Tue Aug 09 2011 20:44:52 GMT-0600 (Mountain Daylight Time)</t>
      </text>
    </comment>
    <comment authorId="0" ref="CO10">
      <text>
        <t xml:space="preserve">def-use pairs
 --vgarousi Tue Aug 09 2011 20:46:01 GMT-0600 (Mountain Daylight Time)</t>
      </text>
    </comment>
    <comment authorId="0" ref="CU10">
      <text>
        <t xml:space="preserve">they say "To automate the data-Xow testing described in Section
3.1, an agent-based framework is proposed."
 --vgarousi Tue Aug 09 2011 21:42:10 GMT-0600 (Mountain Daylight Time)</t>
      </text>
    </comment>
    <comment authorId="0" ref="EB10">
      <text>
        <t xml:space="preserve">An agent-based framework
 --vgarousi Tue Aug 09 2011 21:46:39 GMT-0600 (Mountain Daylight Time)</t>
      </text>
    </comment>
    <comment authorId="0" ref="EG10">
      <text>
        <t xml:space="preserve">A Home Appliance Control System-HACS consists of 8 JSPfiles, 2 HTMLfiles, and an Enterprise JavaBean that contains 23 Java Wles.
 --vgarousi Tue Aug 09 2011 21:47:56 GMT-0600 (Mountain Daylight Time)</t>
      </text>
    </comment>
    <comment authorId="0" ref="F11">
      <text>
        <t xml:space="preserve">Regarding BJ, are user logs the primary source of information to derive test cases? 
V: yes, please see Fig 2
no requirements (when they compare different test suite reductions)? 
V: right. In Fig 2.
--Mirshokraie March-04-12 11:24:49 PM</t>
      </text>
    </comment>
    <comment authorId="0" ref="AU11">
      <text>
        <t xml:space="preserve">Empirical Comparison
</t>
      </text>
    </comment>
    <comment authorId="0" ref="BL11">
      <text>
        <t xml:space="preserve">test minimization</t>
      </text>
    </comment>
    <comment authorId="0" ref="BN11">
      <text>
        <t xml:space="preserve">we target web applications written in Java using servlets and JSPs. The applications consist of a back-end data store and a web server.
 --vgarousi Sun Aug 21 2011 16:24:03 GMT-0600 (Mountain Daylight Time)</t>
      </text>
    </comment>
    <comment authorId="0" ref="BV11">
      <text>
        <t xml:space="preserve">See Fig. 2 (create requirements mapping for each test case)
</t>
      </text>
    </comment>
    <comment authorId="0" ref="CK11">
      <text>
        <t xml:space="preserve">"requirements-based reduction techniques and a concept analysis-based approach."</t>
      </text>
    </comment>
    <comment authorId="0" ref="CL11">
      <text>
        <t xml:space="preserve">"requirements-based reduction techniques and a concept analysis-based approach."</t>
      </text>
    </comment>
    <comment authorId="0" ref="DP11">
      <text>
        <t xml:space="preserve">since User-session-based Testing is for server-side testing only
 --vgarousi Sun Aug 21 2011 16:28:44 GMT-0600 (Mountain Daylight Time)</t>
      </text>
    </comment>
    <comment authorId="0" ref="EB11">
      <text>
        <t xml:space="preserve">no tool since this is a Empirical Comparison paper
 --vgarousi Sun Aug 21 2011 16:29:52 GMT-0600 (Mountain Daylight Time)</t>
      </text>
    </comment>
    <comment authorId="0" ref="EF11">
      <text>
        <t xml:space="preserve">7791+9300</t>
      </text>
    </comment>
    <comment authorId="0" ref="F12">
      <text>
        <t xml:space="preserve">1) evalution paper? i am not sure. it is proposing an analysis model but it is using their previous tools 
2) maybe adding dataflow testing as other methodology
--aysubetincan Thu Feb 09 2012 23:31:51 GMT+0200 (Turkey Standard Time)</t>
      </text>
    </comment>
    <comment authorId="0" ref="AQ12">
      <text>
        <t xml:space="preserve">ReWeb and TestWeb </t>
      </text>
    </comment>
    <comment authorId="0" ref="AR12">
      <text>
        <t xml:space="preserve">UML model </t>
      </text>
    </comment>
    <comment authorId="0" ref="BF12">
      <text>
        <t xml:space="preserve">Dynamic validation of two web applications --Mirshokraie October-07-11 1:56:56 AM</t>
      </text>
    </comment>
    <comment authorId="0" ref="BG12">
      <text>
        <t xml:space="preserve">Test cases are sequences of URLs, when executed, the coverage of the selected criterion is achieved </t>
      </text>
    </comment>
    <comment authorId="0" ref="BJ12">
      <text>
        <t xml:space="preserve">Recording results and re-execute for regression testing </t>
      </text>
    </comment>
    <comment authorId="0" ref="BT12">
      <text>
        <t xml:space="preserve">Driving Web application testing such that it can be used to define white
box testing criteria</t>
      </text>
    </comment>
    <comment authorId="0" ref="CL12">
      <text>
        <t xml:space="preserve">dataflow testing --Mirshokraie March-17-12 4:40:26 PM</t>
      </text>
    </comment>
    <comment authorId="0" ref="CN12">
      <text>
        <t xml:space="preserve">Input values in each URL sequence are left empty which should be filled by the user. --Mirshokraie October-07-11 2:48:10 AM</t>
      </text>
    </comment>
    <comment authorId="0" ref="CO12">
      <text>
        <t xml:space="preserve">Generated test cases
are sequences of URLs for the coverage
of the selected criterion --Mirshokraie October-07-11 2:46:26 AM</t>
      </text>
    </comment>
    <comment authorId="0" ref="CU12">
      <text>
        <t xml:space="preserve">semi-automated --Mirshokraie October-07-11 2:49:37 AM</t>
      </text>
    </comment>
    <comment authorId="0" ref="CY12">
      <text>
        <t xml:space="preserve">Exercising the two websites up to a satisfactory level of coverage --Mirshokraie October-07-11 3:04:29 AM</t>
      </text>
    </comment>
    <comment authorId="0" ref="DA12">
      <text>
        <t xml:space="preserve">From the paper in the experimental result section : Execution of the full test suite and manual verification of the outcomes take about 1 working day.  </t>
      </text>
    </comment>
    <comment authorId="0" ref="EG12">
      <text>
        <t xml:space="preserve">They didn't mention anything about Wordnet. Just say that a portion of Wordnet has been examined. --Mirshokraie October-07-11 3:29:02 AM</t>
      </text>
    </comment>
    <comment authorId="0" ref="F13">
      <text>
        <t xml:space="preserve">1)wrong comment in column DC:They did not mention whether they implement their algorithm with java 
2) SUT uses JSP, check colum DE
3) check column CF:coverage checked with clover
4) check column CG:manual fault seeding
5)although focus is on test reduction, they do generate test inputs (BY) and test code(scripts)
6) check BV: they also give a replay mechanism
 --aysubetincan Thu Feb 09 2012 15:01:06 GMT+0200 (GTB Standard Time)</t>
      </text>
    </comment>
    <comment authorId="0" ref="AP13">
      <text>
        <t xml:space="preserve">An approach for test suite reduction </t>
      </text>
    </comment>
    <comment authorId="0" ref="AX13">
      <text>
        <t xml:space="preserve">From the paper: We Provide evidence of the potential effectiveness of applying the proposed methodology.
 --Mirshokraie Fri 07 Oct 2011 01:25:45 PM PDT</t>
      </text>
    </comment>
    <comment authorId="0" ref="BD13">
      <text>
        <t xml:space="preserve">They would like to test the functionality of web applications by using concept analysis for generating reduced test suits --Mirshokraie Fri 07 Oct 2011 02:44:59 PM PDT</t>
      </text>
    </comment>
    <comment authorId="0" ref="BE13">
      <text>
        <t xml:space="preserve">concept analysis on user logs --Mirshokraie Fri 07 Oct 2011 02:42:53 PM PDT</t>
      </text>
    </comment>
    <comment authorId="0" ref="BJ13">
      <text>
        <t xml:space="preserve">Capture and replay --Mirshokraie Fri 07 Oct 2011 01:29:00 PM PDT</t>
      </text>
    </comment>
    <comment authorId="0" ref="BN13">
      <text>
        <t xml:space="preserve">The approach is based on user log sessions --Mirshokraie Fri 07 Oct 2011 01:29:21 PM PDT</t>
      </text>
    </comment>
    <comment authorId="0" ref="BX13">
      <text>
        <t xml:space="preserve">Note: They do not computing the requirements' mapping prior to reductipon--&gt;time saving --Mirshokraie Fri 07 Oct 2011 01:32:58 PM PDT</t>
      </text>
    </comment>
    <comment authorId="0" ref="CL13">
      <text>
        <t xml:space="preserve">concept analysis</t>
      </text>
    </comment>
    <comment authorId="0" ref="CR13">
      <text>
        <t xml:space="preserve">Reduced test suites --Mirshokraie Fri 07 Oct 2011 01:52:31 PM PDT</t>
      </text>
    </comment>
    <comment authorId="0" ref="CY13">
      <text>
        <t xml:space="preserve">They evaluate code coverage using a tool called Clover --Mirshokraie Fri 07 Oct 2011 01:54:02 PM PDT</t>
      </text>
    </comment>
    <comment authorId="0" ref="DA13">
      <text>
        <t xml:space="preserve">Manually creating and comparing fault detection reports for each reduced test suit --Mirshokraie Fri 07 Oct 2011 01:53:15 PM PDT</t>
      </text>
    </comment>
    <comment authorId="0" ref="EF13">
      <text>
        <t xml:space="preserve">7615+9401+999</t>
      </text>
    </comment>
    <comment authorId="0" ref="EG13">
      <text>
        <t xml:space="preserve">see Table 1 --Mirshokraie Fri 07 Oct 2011 02:27:56 PM PDT</t>
      </text>
    </comment>
    <comment authorId="0" ref="EH13">
      <text>
        <t xml:space="preserve">CPM, MASPLAS --Mirshokraie Fri 07 Oct 2011 02:39:30 PM PDT</t>
      </text>
    </comment>
    <comment authorId="0" ref="EI13">
      <text>
        <t xml:space="preserve">Book --Mirshokraie Fri 07 Oct 2011 02:39:21 PM PDT</t>
      </text>
    </comment>
    <comment authorId="0" ref="A14">
      <text>
        <t xml:space="preserve">this paper has nice intro to web SW defects:
See the paragraph in p.1 starting with: "Society suffers many losses due to web application
failures." 
--vgarousi Sun Aug 21 2011 16:49:50 GMT-0600 (Mountain Daylight Time)</t>
      </text>
    </comment>
    <comment authorId="0" ref="F14">
      <text>
        <t xml:space="preserve">I'm agree with selected items.
 --Mirshokraie March-05-12 11:20:25 PM</t>
      </text>
    </comment>
    <comment authorId="0" ref="BG14">
      <text>
        <t xml:space="preserve">killing mutants is considered a test criteria 
--vgarousi Sun Aug 21 2011 16:36:34 GMT-0600 (Mountain Daylight Time)</t>
      </text>
    </comment>
    <comment authorId="0" ref="BR14">
      <text>
        <t xml:space="preserve">their mutation operators are at these levels
</t>
      </text>
    </comment>
    <comment authorId="0" ref="BT14">
      <text>
        <t xml:space="preserve">with mutations in Source code
</t>
      </text>
    </comment>
    <comment authorId="0" ref="CL14">
      <text>
        <t xml:space="preserve">mutation testing
 --vgarousi Sun Aug 21 2011 16:53:13 GMT-0600 (Mountain Daylight Time)</t>
      </text>
    </comment>
    <comment authorId="0" ref="CO14">
      <text>
        <t xml:space="preserve">a mutant is a test requirements (a test case is needed to kill it)
 --vgarousi Sun Aug 21 2011 16:53:58 GMT-0600 (Mountain Daylight Time)</t>
      </text>
    </comment>
    <comment authorId="0" ref="CT14">
      <text>
        <t xml:space="preserve">First, we used web-MuJava to create mutants. Second, we generated tests by hand and automated them. Third, we seeded faults into a subject program. 
 --vgarousi Sun Aug 21 2011 16:56:13 GMT-0600 (Mountain Daylight Time)</t>
      </text>
    </comment>
    <comment authorId="0" ref="CU14">
      <text>
        <t xml:space="preserve">they have a tool to do mutation testing
 --vgarousi Sun Aug 21 2011 16:54:35 GMT-0600 (Mountain Daylight Time)</t>
      </text>
    </comment>
    <comment authorId="0" ref="EB14">
      <text>
        <t xml:space="preserve"> based on muJava
 --vgarousi Sun Aug 21 2011 16:57:27 GMT-0600 (Mountain Daylight Time)</t>
      </text>
    </comment>
    <comment authorId="0" ref="EC14">
      <text>
        <t xml:space="preserve">they say: "When webMuJava is stable, we will release it
to the community as an experimental resource." 
but it is not available yet
--vgarousi Sun Aug 21 2011 16:59:33 GMT-0600 (Mountain Daylight Time)</t>
      </text>
    </comment>
    <comment authorId="0" ref="EE14">
      <text>
        <t xml:space="preserve">"Small Text Information System
(STIS)"</t>
      </text>
    </comment>
    <comment authorId="0" ref="F15">
      <text>
        <t xml:space="preserve">could you comment on AV=x.
V: Well, the paper title is: "Automated Cross-Browser Compatibility Testing"!
 --Mirshokraie Tue 06 Mar 2012 03:54:10 PM PST</t>
      </text>
    </comment>
    <comment authorId="0" ref="Q15">
      <text>
        <t xml:space="preserve">Authors pose it as Functional testing...
"Look-and-feel versus Functionality"
"we believe that the issue should be addressed as a generalized problem of checking functional consistency of web application behavior across web browsers, rather than purely a ‘look-and-feel’ issue. 
 --vgarousi Tue Aug 02 2011 09:12:32 GMT-0600 (Mountain Daylight Time)</t>
      </text>
    </comment>
    <comment authorId="0" ref="AQ15">
      <text>
        <t xml:space="preserve">presents tool CrossT
Crawljax is also used in this paper, but presented in other paper
 --vgarousi Sun Aug 21 2011 17:50:35 GMT-0600 (Mountain Daylight Time)</t>
      </text>
    </comment>
    <comment authorId="0" ref="AR15">
      <text>
        <t xml:space="preserve">called navigation model.
 --vgarousi Sun Aug 21 2011 17:50:04 GMT-0600 (Mountain Daylight Time)</t>
      </text>
    </comment>
    <comment authorId="0" ref="BG15">
      <text>
        <t xml:space="preserve">based on state charts
 --vgarousi Sun Aug 21 2011 17:53:43 GMT-0600 (Mountain Daylight Time)</t>
      </text>
    </comment>
    <comment authorId="0" ref="BM15">
      <text>
        <t xml:space="preserve"> Cross-Browser Compatibility Testing
is client side
 --vgarousi Sun Aug 21 2011 17:54:11 GMT-0600 (Mountain Daylight Time)</t>
      </text>
    </comment>
    <comment authorId="0" ref="BQ15">
      <text>
        <t xml:space="preserve">sort of
Examples in Table 1: (Examples of browser DOM diﬀerences) look unit-HTML level.
</t>
      </text>
    </comment>
    <comment authorId="0" ref="CR15">
      <text>
        <t xml:space="preserve">the two navigation models built are compared to find differences (defects).
 --vgarousi Sun Aug 21 2011 17:59:29 GMT-0600 (Mountain Daylight Time)</t>
      </text>
    </comment>
    <comment authorId="0" ref="DA15">
      <text>
        <t xml:space="preserve">"we manually inspect
each subject in the given browsers, to document the observ-
able trace-level and screen-level diﬀerences."
"XMLUnit’s diff method (further
referenced as XDiff) as a baseline to evaluate the performance of our approach for detecting cross-browser DOM-
level diﬀerences."
</t>
      </text>
    </comment>
    <comment authorId="0" ref="EF15">
      <text>
        <t xml:space="preserve">214095+90742+58701=363,538
</t>
      </text>
    </comment>
    <comment authorId="0" ref="A16">
      <text>
        <t xml:space="preserve">this is a static-analysis based approach. </t>
      </text>
    </comment>
    <comment authorId="0" ref="AP16">
      <text>
        <t xml:space="preserve">an approach for automatically identifying parameter mismatches in web applications. The approach works in 3 steps: (i) identifying the set of interfaces accepted by each web component, (ii) determining the set of interface invocations performed by each web component,(iii) checking whether each interface invocation
matches an accepted interface of the invocation target.
--Mirshokraie October-24-11 12:54:40 AM</t>
      </text>
    </comment>
    <comment authorId="0" ref="AQ16">
      <text>
        <t xml:space="preserve">prototype implementation. --Mirshokraie October-24-11 12:56:39 AM</t>
      </text>
    </comment>
    <comment authorId="0" ref="BE16">
      <text>
        <t xml:space="preserve">From the paper: we propose a static analysis based approach... --Mirshokraie October-24-11 12:57:21 AM</t>
      </text>
    </comment>
    <comment authorId="0" ref="BL16">
      <text>
        <t xml:space="preserve">the algorithm analyzes the classes in a web application and outputs a list of interface invocations that do not match any accepted interface</t>
      </text>
    </comment>
    <comment authorId="0" ref="BV16">
      <text>
        <t xml:space="preserve">To identify invocations, it visits each node of the component's inter-procedural control 
flow graph (ICFG), identifies all call
sites that invoke API methods used to make direct invocations, and analyzes the parameters of these calls to extract
the invocation URL. from the paper: It relies on a worklist-based data flow analysis and a modular analysis based on the use of method summaries. It analyzes each method or group of strongly connected
methods of the component in reverse topological order with
respect to the call graph.
 --Mirshokraie October-24-11 1:22:42 AM</t>
      </text>
    </comment>
    <comment authorId="0" ref="CR16">
      <text>
        <t xml:space="preserve">list of interface invocations that do not match any accepted interface. --Mirshokraie October-24-11 1:38:26 AM</t>
      </text>
    </comment>
    <comment authorId="0" ref="DA16">
      <text>
        <t xml:space="preserve">the precision is evaluated by manual inspecting of the code.  
(ii) precision: manually inspecting the code that generated every
mismatch to determine whether the mismatch represents an actual error or is a false positive.</t>
      </text>
    </comment>
    <comment authorId="0" ref="DB16">
      <text>
        <t xml:space="preserve">evaluating (i) efficiency: the time necessary to complete the three steps of the approach, identifying cases in which it was not possible to run the analysis because of memory limitations or problems with libraries. </t>
      </text>
    </comment>
    <comment authorId="0" ref="F17">
      <text>
        <t xml:space="preserve">1) is it client side or server side? the comparators works on HTML but the SUTs are written in JSP 
2) check jsp in cloumn DA
3) evaluation includes mutation and manual comparison as noted in comment of CI--aysubetincan Sat Feb 11 2012 20:49:07 GMT+0200 (Turkey Standard Time)</t>
      </text>
    </comment>
    <comment authorId="0" ref="G17">
      <text>
        <t xml:space="preserve">it seems that it is server side. --Mirshokraie March-18-12 10:27:54 PM</t>
      </text>
    </comment>
    <comment authorId="0" ref="AQ17">
      <text>
        <t xml:space="preserve">a suit of automated oracle comparator. It's been integrated in a previously developed tool by the authors which helps testers to evaluate test suit results in detail (see ref 22).   --Mirshokraie October-09-11 2:57:36 AM</t>
      </text>
    </comment>
    <comment authorId="0" ref="AU17">
      <text>
        <t xml:space="preserve">Oracle comparator</t>
      </text>
    </comment>
    <comment authorId="0" ref="BF17">
      <text>
        <t xml:space="preserve">comparing actual and expected outcome from the execution of the web app under test. --Mirshokraie October-09-11 3:14:55 AM</t>
      </text>
    </comment>
    <comment authorId="0" ref="BQ17">
      <text>
        <t xml:space="preserve">testing of each HTML document generated by an HTML request. --Mirshokraie October-09-11 3:30:15 AM</t>
      </text>
    </comment>
    <comment authorId="0" ref="CA17">
      <text>
        <t xml:space="preserve">They assume that test cases have been derived before. They use 3 oracles to test HTML document responses. Oracles are document-based, content-based, and structure-based.</t>
      </text>
    </comment>
    <comment authorId="0" ref="CD17">
      <text>
        <t xml:space="preserve">of HTML docs</t>
      </text>
    </comment>
    <comment authorId="0" ref="DA17">
      <text>
        <t xml:space="preserve">(i)finding false positive and false negative by manually seeding faults, (ii) examining the types of faults each oracle reveal, (iii) the costs of oracle comparator in terms of time and space.
The authors also mentioned that they manually determined the expected pass/no pass results for the ideal oracle. --Mirshokraie March-18-12 10:19:12 PM</t>
      </text>
    </comment>
    <comment authorId="0" ref="DB17">
      <text>
        <t xml:space="preserve">(iii) the costs of oracle comparator in terms of time and space.
</t>
      </text>
    </comment>
    <comment authorId="0" ref="DM17">
      <text>
        <t xml:space="preserve">From the paper: We developed a suite of 22 HTML-based automated oracle comparators for testing web applications. --Mirshokraie October-09-11 4:03:40 AM</t>
      </text>
    </comment>
    <comment authorId="0" ref="EF17">
      <text>
        <t xml:space="preserve">999+7791+8947+49513</t>
      </text>
    </comment>
    <comment authorId="0" ref="EI17">
      <text>
        <t xml:space="preserve">Book and DSpace --Mirshokraie October-09-11 4:11:13 AM</t>
      </text>
    </comment>
    <comment authorId="0" ref="F18">
      <text>
        <t xml:space="preserve">1) uncheck column BP:they say whitebox but there is no code analysis
"Step 2 constructs the graph structure of the modified web
application as a set of nodes (pages) and edges (links). This
phase is essentially a white box analysis phase "
2) looks like a manual comparison as evaluation
3) web server tier tech: unknown. which tech is used in SUT is not given
 --aysubetincan Mon Feb 13 2012 00:37:49 GMT+0200 (Turkey Standard Time)</t>
      </text>
    </comment>
    <comment authorId="0" ref="G18">
      <text>
        <t xml:space="preserve">you are right-no code analysis. step 1 uses relational db implementation and step 2 uses crawling/spidering. So what is the technique then? --Mirshokraie March-18-12 11:12:07 PM</t>
      </text>
    </comment>
    <comment authorId="0" ref="AP18">
      <text>
        <t xml:space="preserve">an approach to web application regression testing, based on repair of user session data. --Mirshokraie October-23-11 1:52:42 AM</t>
      </text>
    </comment>
    <comment authorId="0" ref="AQ18">
      <text>
        <t xml:space="preserve">a prototype of the regression testing tool has been implemented. --Mirshokraie October-23-11 1:54:03 AM</t>
      </text>
    </comment>
    <comment authorId="0" ref="BL18">
      <text>
        <t xml:space="preserve">Repairing old session data so that they can be reused when testing changes made to the web application. --Mirshokraie October-23-11 1:56:11 AM</t>
      </text>
    </comment>
    <comment authorId="0" ref="BT18">
      <text>
        <t xml:space="preserve">white box examination of the structure of the changed web application to detect changes and a set of techniques to map
these detected changes onto repair actions. --Mirshokraie October-23-11 1:58:58 AM</t>
      </text>
    </comment>
    <comment authorId="0" ref="CR18">
      <text>
        <t xml:space="preserve">repaired set of session data </t>
      </text>
    </comment>
    <comment authorId="0" ref="DE18">
      <text>
        <t xml:space="preserve">(ii) scalability study (done by a controlled experiment): performance of the algorithm determined by the size of the session database.
Note: No update of session data was performed between each release. The aim was that the original session data would become increasingly out of date, presenting a monotonically increasing level of challenge to the repair algorithm. </t>
      </text>
    </comment>
    <comment authorId="0" ref="EA18">
      <text>
        <t xml:space="preserve">step 1 of the repair algorithm is achieved using a standard relational database
implementation with session data are loaded from an XML session log. Step 2 is implemented using a version of the web-spidering tool, JSpider, tailored to handled forms and dynamic pages in the manner. Steps 3 and 4 from implementation components constructed specifically for the regression session
repair tool. --Mirshokraie October-23-11 2:25:20 AM</t>
      </text>
    </comment>
    <comment authorId="0" ref="EE18">
      <text>
        <t xml:space="preserve">10 version of bookstore application produced through a series of changes according to a set of user requests for additional and changed functionality. --Mirshokraie October-23-11 2:34:19 AM</t>
      </text>
    </comment>
    <comment authorId="0" ref="F19">
      <text>
        <t xml:space="preserve">there is a tool, but Tool column is not checked. 
V: Thanks. Done
also BP column:"static analysis is used
to automatically create a coverage database". is this because they are not directly test related?
V: Thanks. added
 --aysubetincan Thu Feb 16 2012 17:59:30 GMT+0200 (Turkey Standard Time)</t>
      </text>
    </comment>
    <comment authorId="0" ref="AQ19">
      <text>
        <t xml:space="preserve">DWASTIC
--vgarousi Sun Feb 26 2012 11:56:08 GMT-0700 (Mountain Standard Time)</t>
      </text>
    </comment>
    <comment authorId="0" ref="AS19">
      <text>
        <t xml:space="preserve">the coverage criteria in this paper are based on page access, use of server variables, and interactions with the
database </t>
      </text>
    </comment>
    <comment authorId="0" ref="BG19">
      <text>
        <t xml:space="preserve">Coverage criteria
 --vgarousi Sun Aug 21 2011 18:48:45 GMT-0600 (Mountain Daylight Time)</t>
      </text>
    </comment>
    <comment authorId="0" ref="BN19">
      <text>
        <t xml:space="preserve">since the coverage criteria in this paper are based on page access, use of server variables, and interactions with the
database
 --vgarousi Sun Aug 21 2011 18:49:07 GMT-0600 (Mountain Daylight Time)</t>
      </text>
    </comment>
    <comment authorId="0" ref="BQ19">
      <text>
        <t xml:space="preserve">since the coverage criteria are based on page access
 --vgarousi Sun Aug 21 2011 18:50:09 GMT-0600 (Mountain Daylight Time)</t>
      </text>
    </comment>
    <comment authorId="0" ref="BT19">
      <text>
        <t xml:space="preserve">coverage of PHP and SQL code
 --vgarousi Mon Aug 22 2011 10:11:14 GMT-0600 (Mountain Daylight Time)</t>
      </text>
    </comment>
    <comment authorId="0" ref="CA19">
      <text>
        <t xml:space="preserve">Coverage of Server Environment Variable 
 --vgarousi Mon Aug 22 2011 10:11:39 GMT-0600 (Mountain Daylight Time)</t>
      </text>
    </comment>
    <comment authorId="0" ref="CD19">
      <text>
        <t xml:space="preserve">"static analysis is used
to automatically create a coverage database"
 --vgarousi Sun Feb 26 2012 11:57:43 GMT-0700 (Mountain Standard Time)</t>
      </text>
    </comment>
    <comment authorId="0" ref="CO19">
      <text>
        <t xml:space="preserve">coverage is a type of Test requirements, test cases needed to satisfy coverage
 --vgarousi Mon Aug 22 2011 10:13:09 GMT-0600 (Mountain Daylight Time)</t>
      </text>
    </comment>
    <comment authorId="0" ref="EB19">
      <text>
        <t xml:space="preserve">Dynamic Web ApplicationS Testing Instrumentation Coverage
 --vgarousi Mon Aug 22 2011 10:15:49 GMT-0600 (Mountain Daylight Time)</t>
      </text>
    </comment>
    <comment authorId="0" ref="EF19">
      <text>
        <t xml:space="preserve">
 --vgarousi Mon Aug 22 2011 10:14:51 GMT-0600 (Mountain Daylight Time)</t>
      </text>
    </comment>
    <comment authorId="0" ref="EI19">
      <text>
        <t xml:space="preserve">PhpBB 2.0 and Moodle
 --vgarousi Sun Aug 21 2011 18:47:55 GMT-0600 (Mountain Daylight Time)</t>
      </text>
    </comment>
    <comment authorId="0" ref="F20">
      <text>
        <t xml:space="preserve">-I think it could be AK.
-It is mainly a test evaluation (oracle), could you please comment on AV=x?
-Please provide comments on CC=x and BM=x
 --Mirshokraie March-07-12 2:36:09 AM</t>
      </text>
    </comment>
    <comment authorId="0" ref="CA20">
      <text>
        <t xml:space="preserve">test results</t>
      </text>
    </comment>
    <comment authorId="0" ref="EF20">
      <text>
        <t xml:space="preserve">155K+185K+35K</t>
      </text>
    </comment>
    <comment authorId="0" ref="F21">
      <text>
        <t xml:space="preserve">onlinecarreservation system:SUT as motivating example
2) unit? test is a sequence of transitions. i cannot decide whether it is unit testing like Shabnam
 --aysubetincan Thu Feb 16 2012 19:18:33 GMT+0200 (Turkey Standard Time)</t>
      </text>
    </comment>
    <comment authorId="0" ref="G21">
      <text>
        <t xml:space="preserve">I don't think it's unit-testing. _Ali
Do you think it is unit testing? because I am not sure whether it is or not. --Mirshokraie Fri 16 Mar 2012 01:57:23 PM PDT</t>
      </text>
    </comment>
    <comment authorId="0" ref="N21">
      <text>
        <t xml:space="preserve">There are a number of papers on testing "web database applications"
We need to discuss how we will deal with them
I personally beleive database testing in this case is something functional
 --vgarousi Tue Aug 02 2011 10:42:42 GMT-0600 (Mountain Daylight Time)</t>
      </text>
    </comment>
    <comment authorId="0" ref="Q21">
      <text>
        <t xml:space="preserve">I personally beleive database testing in this case is something functional
 --vgarousi Tue Aug 02 2011 10:44:07 GMT-0600 (Mountain Daylight Time)</t>
      </text>
    </comment>
    <comment authorId="0" ref="AQ21">
      <text>
        <t xml:space="preserve">AutoDBT --Mirshokraie October-13-11 2:01:58 AM</t>
      </text>
    </comment>
    <comment authorId="0" ref="AR21">
      <text>
        <t xml:space="preserve">From the paper: We show that we can model every kind of database
transaction and examine several case studies...
 --Mirshokraie October-13-11 2:04:44 AM</t>
      </text>
    </comment>
    <comment authorId="0" ref="BD21">
      <text>
        <t xml:space="preserve">This paper presents a framework, AutoDBT, for the functional (black-box) testing of a web database application. --Mirshokraie October-13-11 2:13:15 AM</t>
      </text>
    </comment>
    <comment authorId="0" ref="BG21">
      <text>
        <t xml:space="preserve">AutoDBT generates test cases. It takes as input a model of the application and a set of testing criteria
--Mirshokraie October-13-11 2:16:28 AM</t>
      </text>
    </comment>
    <comment authorId="0" ref="BK21">
      <text>
        <t xml:space="preserve">AutoDBT generates partial oracles </t>
      </text>
    </comment>
    <comment authorId="0" ref="BV21">
      <text>
        <t xml:space="preserve">Test case is generated from a test sequence. Based on the state transition diagram, for any given test coverage criteria, they automatically generate a test sequence.
--Mirshokraie October-13-11 2:55:00 AM</t>
      </text>
    </comment>
    <comment authorId="0" ref="CA21">
      <text>
        <t xml:space="preserve">test case is generated from a test sequence. A guard is a query to determine whether a test sequence can be
instantiated to produce a test case --Mirshokraie October-13-11 2:48:10 AM</t>
      </text>
    </comment>
    <comment authorId="0" ref="CK21">
      <text>
        <t xml:space="preserve">Database Extended Finite State Machine (DEFSM)
 --vgarousi Mon Jan 23 2012 10:22:05 GMT-0700 (Mountain Standard Time)</t>
      </text>
    </comment>
    <comment authorId="0" ref="CO21">
      <text>
        <t xml:space="preserve">the requirements should be met through guard checking and evaluating--Mirshokraie October-13-11 3:03:20 AM</t>
      </text>
    </comment>
    <comment authorId="0" ref="DB21">
      <text>
        <t xml:space="preserve">Measuring the cost of evaluating a guard as well as conducting a case study </t>
      </text>
    </comment>
    <comment authorId="0" ref="EF21">
      <text>
        <t xml:space="preserve">WSU’s IT student computing services, WSU’s eInfoCenter for current students, WSU’s ResNet self-certification web page, Mapquest --Mirshokraie October-13-11 3:39:42 AM</t>
      </text>
    </comment>
    <comment authorId="0" ref="EJ21">
      <text>
        <t xml:space="preserve">not sure whether they are open source or commercial --Mirshokraie October-13-11 3:43:54 AM</t>
      </text>
    </comment>
    <comment authorId="0" ref="F22">
      <text>
        <t xml:space="preserve">I wonder why we have "Process" ticked. I see they use the wording a few times, but it is not really a new test process, just a technique
 --vgarousi Sun Feb 19 2012 19:13:01 GMT-0700 (Mountain Standard Time)</t>
      </text>
    </comment>
    <comment authorId="0" ref="G22">
      <text>
        <t xml:space="preserve">they want to bypass the client and directly access the server. client side should do section2 checks but if someone bypass it invalid input can go to server.
see also page10 2nd column 1st sentence --aysubetincan Fri Mar 23 2012 13:10:10 GMT+0200 (GTB Standard Time)</t>
      </text>
    </comment>
    <comment authorId="0" ref="Q22">
      <text>
        <t xml:space="preserve">They say "Input validation testing checks user inputs to ensure that they conform to the program’s requirements"
This has a partial aspect of functional testing 
--vgarousi Tue Aug 02 2011 10:46:38 GMT-0600 (Mountain Daylight Time)</t>
      </text>
    </comment>
    <comment authorId="0" ref="BT22">
      <text>
        <t xml:space="preserve">analyze client code to test server code. --aysubetincan Sun Nov 13 2011 18:44:25 GMT+0200 (Turkey Standard Time)</t>
      </text>
    </comment>
    <comment authorId="0" ref="DC22">
      <text>
        <t xml:space="preserve">detecting real faults (see Section 5)
</t>
      </text>
    </comment>
    <comment authorId="0" ref="F23">
      <text>
        <t xml:space="preserve">1) fault seeding is mutation testing
2) check jsp column DA and HTML
3) "GUI not sure?" it is true so be sure.
3) sessions are used as test cases, can we count them as test input?
4) not sure for dynamic code analysis. it uses dependence graph not the code--aysubetincan Thu Feb 16 2012 19:42:26 GMT+0200 (Turkey Standard Time)</t>
      </text>
    </comment>
    <comment authorId="0" ref="G23">
      <text>
        <t xml:space="preserve">Is it model-based? They mentioned that they either use use-case models or they reverse engineer source code to construct UML models. WEBMTA, which is used for constructing the graph is also generating models. --Mirshokraie March-20-12 1:12:59 PM</t>
      </text>
    </comment>
    <comment authorId="0" ref="W23">
      <text>
        <t xml:space="preserve">see the PDF link
 --vgarousi Tue Aug 02 2011 10:48:30 GMT-0600 (Mountain Daylight Time)</t>
      </text>
    </comment>
    <comment authorId="0" ref="AP23">
      <text>
        <t xml:space="preserve">a methodology to create an adequate test suite from the collected user sessions--user session partitioning. --Mirshokraie Thu 13 Oct 2011 11:40:34 AM PDT</t>
      </text>
    </comment>
    <comment authorId="0" ref="BG23">
      <text>
        <t xml:space="preserve">(i) every service provided by the application should be executed by at least one test case, (ii) every fault-sensitive path need to be exercised by at least one test case. (i) and (ii) =&gt; generating adequate test suits. --Mirshokraie Thu 13 Oct 2011 12:41:15 PM PDT</t>
      </text>
    </comment>
    <comment authorId="0" ref="CO23">
      <text>
        <t xml:space="preserve">Test case should cover service profile and fault intensive paths. --Mirshokraie Thu 13 Oct 2011 02:17:44 PM PDT</t>
      </text>
    </comment>
    <comment authorId="0" ref="DC23">
      <text>
        <t xml:space="preserve">(ii) Conducting a study on an industrial application with natural faults. 
</t>
      </text>
    </comment>
    <comment authorId="0" ref="F24">
      <text>
        <t xml:space="preserve">-Why test automation(AV=x)?
-Why BF=x? maybe only BJ=x
-Why BP=x? I think BV and other=x (other:test suit reduction and concept anaylsis perhaps?)
 --Mirshokraie March-07-12 10:46:55 PM</t>
      </text>
    </comment>
    <comment authorId="0" ref="G24">
      <text>
        <t xml:space="preserve">-(AV=x)using different tools, but in the end test is automated
-BF=x? coverage analysis requires source code and whitebox testing--figure2.
-I agree: Why BP=x? I think BV and other=x (other:test suit reduction and concept anaylsis perhaps?)
 --aysubetincan Fri Mar 23 2012 15:45:46 GMT+0200 (GTB Standard Time)</t>
      </text>
    </comment>
    <comment authorId="0" ref="AP24">
      <text>
        <t xml:space="preserve">Figure 1. General Framework for Testing Web-based Applications</t>
      </text>
    </comment>
    <comment authorId="0" ref="AQ24">
      <text>
        <t xml:space="preserve">a toolset in Figure 2. Current Prototype Framework</t>
      </text>
    </comment>
    <comment authorId="0" ref="AR24">
      <text>
        <t xml:space="preserve">a Concept Analysis model called Lattice</t>
      </text>
    </comment>
    <comment authorId="0" ref="AT24">
      <text>
        <t xml:space="preserve">"process" appears 19 times</t>
      </text>
    </comment>
    <comment authorId="0" ref="CL24">
      <text>
        <t xml:space="preserve">test suit reduction and concept anaylsis  --aysubetincan Fri Mar 23 2012 15:48:11 GMT+0200 (GTB Standard Time)</t>
      </text>
    </comment>
    <comment authorId="0" ref="EB24">
      <text>
        <t xml:space="preserve">a toolset in Figure 2. Current Prototype Framework</t>
      </text>
    </comment>
    <comment authorId="0" ref="F25">
      <text>
        <t xml:space="preserve">Please provide comments where "other" marked.
I'm agree with selected items. --Mirshokraie March-08-12 12:01:49 AM</t>
      </text>
    </comment>
    <comment authorId="0" ref="Q25">
      <text>
        <t xml:space="preserve">paper has tons of acronyms and does not seem to have much novelty
 --vgarousi Tue Aug 02 2011 10:52:09 GMT-0600 (Mountain Daylight Time)</t>
      </text>
    </comment>
    <comment authorId="0" ref="U25">
      <text>
        <t xml:space="preserve">the evaluation part is quite weak
--vgarousi Tue Aug 02 2011 10:53:02 GMT-0600 (Mountain Daylight Time)</t>
      </text>
    </comment>
    <comment authorId="0" ref="AR25">
      <text>
        <t xml:space="preserve">architecture</t>
      </text>
    </comment>
    <comment authorId="0" ref="CY25">
      <text>
        <t xml:space="preserve">no evaluation. showing the architecture only --aysubetincan Tue Oct 11 2011 00:54:40 GMT+0300 (Turkey Daylight Time)</t>
      </text>
    </comment>
    <comment authorId="0" ref="F26">
      <text>
        <t xml:space="preserve">Is it all static? what about dynamic slicing which uses execution traces?
 --Mirshokraie March-08-12 2:24:17 AM</t>
      </text>
    </comment>
    <comment authorId="0" ref="AP26">
      <text>
        <t xml:space="preserve">a new test enabler technique </t>
      </text>
    </comment>
    <comment authorId="0" ref="EF26">
      <text>
        <t xml:space="preserve">100+40+69+38+10</t>
      </text>
    </comment>
    <comment authorId="0" ref="F27">
      <text>
        <t xml:space="preserve">I'm agree with selected items.
 --Mirshokraie Thu 08 Mar 2012 11:35:24 AM PST</t>
      </text>
    </comment>
    <comment authorId="0" ref="AX27">
      <text>
        <t xml:space="preserve">data colletion to show the need to test cookies</t>
      </text>
    </comment>
    <comment authorId="0" ref="CL27">
      <text>
        <t xml:space="preserve">Antirandom testing involves the selection of test-cases to maximize the Cartesian or Hamming distance from all previous test-cases and has been shown effective through a series of empirical evaluations 
 --vgarousi Sun Jan 15 2012 22:37:37 GMT-0700 (Mountain Standard Time)</t>
      </text>
    </comment>
    <comment authorId="0" ref="F28">
      <text>
        <t xml:space="preserve">V: thanks. revised
SUT names: oscommerce2
campcaster
ajchat
shop
hotelBooking
zencart
orangeHRM
spellCheck
addressBook
webChess
schoolMate
phpmyadmin
addressook
php-agenda
airalliance
ecombill
dbguestbook
lesson8
winestore
 --aysubetincan Thu Feb 16 2012 20:47:03 GMT+0200 (Turkey Standard Time)
</t>
      </text>
    </comment>
    <comment authorId="0" ref="AS28">
      <text>
        <t xml:space="preserve">Crawlability metrics</t>
      </text>
    </comment>
    <comment authorId="0" ref="BT28">
      <text>
        <t xml:space="preserve">based on fig 1
 --vgarousi Mon Aug 22 2011 10:23:07 GMT-0600 (Mountain Daylight Time)</t>
      </text>
    </comment>
    <comment authorId="0" ref="CA28">
      <text>
        <t xml:space="preserve">webpage forms</t>
      </text>
    </comment>
    <comment authorId="0" ref="EB28">
      <text>
        <t xml:space="preserve">The discussed Web Application Testing Tool (WATT) is presented in ANOTHER paper --vgarousi Tue Aug 23 2011 08:36:01 GMT-0600 (Mountain Daylight Time)</t>
      </text>
    </comment>
    <comment authorId="0" ref="F29">
      <text>
        <t xml:space="preserve">1)not only unit testing. it also discusses interprocedural data flow, so across units  
V: I changed Integration/BD=x 
2)i think it is not dynamic but static analysis. 
V: Agree. The coverage notion is a bit hard to  classify sometimes, it could be dynamic or static analysis. But it is static analysis here, as you said. 
--aysubetincan Thu Feb 16 2012 23:58:41 GMT+0200 (Turkey Standard Time)</t>
      </text>
    </comment>
    <comment authorId="0" ref="AR29">
      <text>
        <t xml:space="preserve">From paper: "A test model is presented to capture..."</t>
      </text>
    </comment>
    <comment authorId="0" ref="CO29">
      <text>
        <t xml:space="preserve">Def-use pairs are a type of test requirements 
 --vgarousi Tue Aug 23 2011 08:56:58 GMT-0600 (Mountain Daylight Time)</t>
      </text>
    </comment>
    <comment authorId="0" ref="CT29">
      <text>
        <t xml:space="preserve">from paper: "The development of a prototype tool is currently in pro-
gress so as to automate..." 
--vgarousi Tue Aug 23 2011 08:57:43 GMT-0600 (Mountain Daylight Time)</t>
      </text>
    </comment>
    <comment authorId="0" ref="F30">
      <text>
        <t xml:space="preserve">-Why BA=x and not AZ? 
-Why BY=x? Should we consider them as test inputs?
--Mirshokraie Thu 08 Mar 2012 12:44:52 PM PST</t>
      </text>
    </comment>
    <comment authorId="0" ref="G30">
      <text>
        <t xml:space="preserve">model checks navigation. if we consider the navigation only links on client side you're right. if server controls navigation? ok. i checked client --aysubetincan Sun Mar 25 2012 21:12:56 GMT+0300 (Turkey Daylight Time)</t>
      </text>
    </comment>
    <comment authorId="0" ref="CR30">
      <text>
        <t xml:space="preserve">model checking-CTL </t>
      </text>
    </comment>
    <comment authorId="0" ref="F31">
      <text>
        <t xml:space="preserve">need to check test automation. it does concolic testing i.e. runs the tests
--aysubetincan Fri Feb 17 2012 11:41:21 GMT+0200 (Turkey Standard Time)</t>
      </text>
    </comment>
    <comment authorId="0" ref="AP31">
      <text>
        <t xml:space="preserve">A methodology to generate test cases dynamically for executing every branch of an ASP.NET application in order to collect all possible different
HTML outputs and run-time errors. --Mirshokraie October-15-11 10:57:53 AM</t>
      </text>
    </comment>
    <comment authorId="0" ref="AQ31">
      <text>
        <t xml:space="preserve">Called Mamoste </t>
      </text>
    </comment>
    <comment authorId="0" ref="BG31">
      <text>
        <t xml:space="preserve">Generating test cases dynamically to collect all possible different
HTML outputs and run-time errors.
--Mirshokraie October-15-11 11:02:43 AM</t>
      </text>
    </comment>
    <comment authorId="0" ref="BQ31">
      <text>
        <t xml:space="preserve">Detecting HTML output error. In addition, triggering an
event, such as page load or onclick events, and supply
input parameters. This execution is similar to unit testing where a unit is an event handler.
 --Mirshokraie October-15-11 11:07:19 AM</t>
      </text>
    </comment>
    <comment authorId="0" ref="BT31">
      <text>
        <t xml:space="preserve">Mamoste is to be used
on the development side as a white box testing tool.
 --Mirshokraie October-15-11 11:23:15 AM</t>
      </text>
    </comment>
    <comment authorId="0" ref="CG31">
      <text>
        <t xml:space="preserve">From the paper: Our tool, called Mamoste, adapts concolic testing
technique. --Mirshokraie October-15-11 11:25:26 AM</t>
      </text>
    </comment>
    <comment authorId="0" ref="CN31">
      <text>
        <t xml:space="preserve">This technique runs and test the program with bottom element
for all inputs, captures the path constraints exercised
by the run, infers unexplored path constraints, generates
new concrete input values from these constraints with the help of a constraint solver, and loops until
there are no new input values generated or timeout. --Mirshokraie October-15-11 11:29:26 AM</t>
      </text>
    </comment>
    <comment authorId="0" ref="CR31">
      <text>
        <t xml:space="preserve">Capturing path constraints exercised
by the run, inferring unexplored path constraints with the help of constraint solver.</t>
      </text>
    </comment>
    <comment authorId="0" ref="CU31">
      <text>
        <t xml:space="preserve">Note: The tool needs manual instrumentation to catch branch conditions and related to web inputs. --Mirshokraie October-15-11 11:42:29 AM</t>
      </text>
    </comment>
    <comment authorId="0" ref="CY31">
      <text>
        <t xml:space="preserve">From the "Experiment" part of the paper: It increases code coverage by executing
different branches of tested program than manual testing --Mirshokraie October-15-11 12:06:00 PM</t>
      </text>
    </comment>
    <comment authorId="0" ref="DA31">
      <text>
        <t xml:space="preserve">The same subset of components is manually tested to reason about the effectiveness of
Mamoste.
--Mirshokraie October-15-11 12:09:04 PM</t>
      </text>
    </comment>
    <comment authorId="0" ref="EF31">
      <text>
        <t xml:space="preserve">184+354+179+214+276</t>
      </text>
    </comment>
    <comment authorId="0" ref="F32">
      <text>
        <t xml:space="preserve">They have done fault injection as well, thus: shouldn't CG=x too?
 --vgarousi Sun Feb 19 2012 22:05:11 GMT-0700 (Mountain Standard Time)</t>
      </text>
    </comment>
    <comment authorId="0" ref="AP32">
      <text>
        <t xml:space="preserve">a systematic method to characterize the correct behavior of a web application for robustness testing. 
--Mirshokraie October-16-11 9:34:56 AM</t>
      </text>
    </comment>
    <comment authorId="0" ref="AQ32">
      <text>
        <t xml:space="preserve">DoDOM</t>
      </text>
    </comment>
    <comment authorId="0" ref="BJ32">
      <text>
        <t xml:space="preserve">Sequence of DOMs corresponding to the
execution is compared with the sequence of invariant DOMs. They classify the execution as a successful detection if any of
the DOM trees in the sequence exhibits a mismatch with the
corresponding DOM in the invariant sequence. 
--Mirshokraie October-16-11 10:42:07 AM</t>
      </text>
    </comment>
    <comment authorId="0" ref="BL32">
      <text>
        <t xml:space="preserve">Replay web applications and extract their invariants dynamically over DOM</t>
      </text>
    </comment>
    <comment authorId="0" ref="BQ32">
      <text>
        <t xml:space="preserve">at event and DOM level(?) 
--Mirshokraie October-16-11 10:48:19 AM</t>
      </text>
    </comment>
    <comment authorId="0" ref="BW32">
      <text>
        <t xml:space="preserve">Invariants are derived
dynamically by recording a sequence of user interactions with the application and observing the changes to the DOM by
repeatedly replaying the sequence. --Mirshokraie October-16-11 11:08:18 AM</t>
      </text>
    </comment>
    <comment authorId="0" ref="CJ32">
      <text>
        <t xml:space="preserve">The invariants are derived dynamically by recording a sequence of user interactions with the application and observing the changes to the DOM by
repeatedly replaying the sequence. --Mirshokraie October-16-11 11:11:24 AM</t>
      </text>
    </comment>
    <comment authorId="0" ref="CP32">
      <text>
        <t xml:space="preserve">After each event executes, they check the conformance of the resulting DOM to the invariant portions.
A deviation indicates an error. --Mirshokraie October-16-11 11:13:36 AM</t>
      </text>
    </comment>
    <comment authorId="0" ref="DB32">
      <text>
        <t xml:space="preserve">performance overhead</t>
      </text>
    </comment>
    <comment authorId="0" ref="DO32">
      <text>
        <t xml:space="preserve">a small portion implemented as a proxy server. 
--Mirshokraie October-16-11 11:20:43 AM</t>
      </text>
    </comment>
    <comment authorId="0" ref="EF32">
      <text>
        <t xml:space="preserve">499+9647+15603 JS code</t>
      </text>
    </comment>
    <comment authorId="0" ref="F33">
      <text>
        <t xml:space="preserve">1)check BA:tests php code, server side not client
V: yes, you have a sharp eye!
2) SUT Names:Mantis 1.0.0rc2,mambo 4.3.5,utopia news pro
fixed
3) column DJ:27 files-17328 LOC ; 23 files -13248; 6 files 1529 LOC
fixed
--aysubetincan Fri Feb 17 2012 12:08:11 GMT+0200 (Turkey Standard Time)</t>
      </text>
    </comment>
    <comment authorId="0" ref="AQ33">
      <text>
        <t xml:space="preserve">A plugin to phc, an open source PHP compiler front-end</t>
      </text>
    </comment>
    <comment authorId="0" ref="BD33">
      <text>
        <t xml:space="preserve">Concolic testing</t>
      </text>
    </comment>
    <comment authorId="0" ref="BF33">
      <text>
        <t xml:space="preserve">Concolic testing</t>
      </text>
    </comment>
    <comment authorId="0" ref="BG33">
      <text>
        <t xml:space="preserve">Concolic testing</t>
      </text>
    </comment>
    <comment authorId="0" ref="BN33">
      <text>
        <t xml:space="preserve">On PHP code</t>
      </text>
    </comment>
    <comment authorId="0" ref="DC33">
      <text>
        <t xml:space="preserve">Number of test case iterations required to find real defects</t>
      </text>
    </comment>
    <comment authorId="0" ref="EB33">
      <text>
        <t xml:space="preserve">A plugin to phc, an open source PHP compiler front-end</t>
      </text>
    </comment>
    <comment authorId="0" ref="EF33">
      <text>
        <t xml:space="preserve">17,328+13,248+1,529</t>
      </text>
    </comment>
    <comment authorId="0" ref="F34">
      <text>
        <t xml:space="preserve">-I think their evaluation is a bit more than a simple solution proposal.
-I believe it is not fully automated (CD=x and CE=x).
 --Mirshokraie Fri 09 Mar 2012 03:30:16 PM PST</t>
      </text>
    </comment>
    <comment authorId="0" ref="G34">
      <text>
        <t xml:space="preserve">we cannot say it is manual. once there is a model it is automated. --aysubetincan Sun Mar 25 2012 21:25:22 GMT+0300 (Turkey Daylight Time)</t>
      </text>
    </comment>
    <comment authorId="0" ref="EF34">
      <text>
        <t xml:space="preserve">401K+159K+41K
See table 1 in page 2</t>
      </text>
    </comment>
    <comment authorId="0" ref="A35">
      <text>
        <t xml:space="preserve">Nice! "The final taxonomy is publicly available for consultation and editing on a Wiki page."
 --vgarousi Sun Aug 21 2011 18:53:56 GMT-0600 (Mountain Daylight Time)</t>
      </text>
    </comment>
    <comment authorId="0" ref="F35">
      <text>
        <t xml:space="preserve">1) describes faults for both dynamic and static  web apps, so check CJ and CK
fixed
2) utopia: 6 files 1529 LOC same as from the paper 33 
fixed
--aysubetincan Sat Feb 18 2012 21:58:17 GMT+0200 (Turkey Standard Time)</t>
      </text>
    </comment>
    <comment authorId="0" ref="Q35">
      <text>
        <t xml:space="preserve">nice paper. This actually relates to our attribute on "fault model"
--vgarousi Tue Aug 02 2011 11:21:57 GMT-0600 (Mountain Daylight Time)</t>
      </text>
    </comment>
    <comment authorId="0" ref="AU35">
      <text>
        <t xml:space="preserve">a Web Fault Taxonomy </t>
      </text>
    </comment>
    <comment authorId="0" ref="BG35">
      <text>
        <t xml:space="preserve">some mutation testing in the paper
 --vgarousi Sun Aug 21 2011 19:07:23 GMT-0600 (Mountain Daylight Time)</t>
      </text>
    </comment>
    <comment authorId="0" ref="BL35">
      <text>
        <t xml:space="preserve">Fault Taxonomy
</t>
      </text>
    </comment>
    <comment authorId="0" ref="BQ35">
      <text>
        <t xml:space="preserve">see Table 1 in paper
 --vgarousi Sun Aug 21 2011 19:07:51 GMT-0600 (Mountain Daylight Time)</t>
      </text>
    </comment>
    <comment authorId="0" ref="CA35">
      <text>
        <t xml:space="preserve">N/A for this paper
 --vgarousi Sun Aug 21 2011 19:08:08 GMT-0600 (Mountain Daylight Time)</t>
      </text>
    </comment>
    <comment authorId="0" ref="CR35">
      <text>
        <t xml:space="preserve">N/A for this paper
 --vgarousi Sun Aug 21 2011 19:08:29 GMT-0600 (Mountain Daylight Time)</t>
      </text>
    </comment>
    <comment authorId="0" ref="CZ35">
      <text>
        <t xml:space="preserve">see title of paper
 --vgarousi Sun Aug 21 2011 18:51:59 GMT-0600 (Mountain Daylight Time)</t>
      </text>
    </comment>
    <comment authorId="0" ref="EI35">
      <text>
        <t xml:space="preserve">four: PHPAdmin, AjaxAnywhere, ZK - Simply Ajax, Sarissa,
 --vgarousi Sun Aug 21 2011 18:59:58 GMT-0600 (Mountain Daylight Time)</t>
      </text>
    </comment>
    <comment authorId="0" ref="F36">
      <text>
        <t xml:space="preserve">All look good to me
 --vgarousi Tue Feb 21 2012 19:41:29 GMT-0700 (Mountain Standard Time)</t>
      </text>
    </comment>
    <comment authorId="0" ref="Q36">
      <text>
        <t xml:space="preserve">actually, a "Challenge" paper 
it is just 3 pages
--vgarousi Tue Aug 02 2011 11:23:15 GMT-0600 (Mountain Daylight Time)</t>
      </text>
    </comment>
    <comment authorId="0" ref="AZ36">
      <text>
        <t xml:space="preserve">only results
</t>
      </text>
    </comment>
    <comment authorId="0" ref="AP37">
      <text>
        <t xml:space="preserve">The technique generates
tests automatically, uses the tests to detect failures, and minimizes the conditions on the inputs exposing each failure, so that the resulting bug reports are small and useful in finding and fixing the underlying faults. --Mirshokraie October-16-11 4:21:52 PM</t>
      </text>
    </comment>
    <comment authorId="0" ref="AQ37">
      <text>
        <t xml:space="preserve">Apollo 
--Mirshokraie October-16-11 4:22:33 PM</t>
      </text>
    </comment>
    <comment authorId="0" ref="BJ37">
      <text>
        <t xml:space="preserve">Application under test is first executed with an empty input. During each execution, the program is monitored to record path  constraints that capture the outcome of control-flow predicates. The idea is to execute an application on an initial input, and then on additional inputs obtained by
solving constraints derived from exercised control flow path.
--Mirshokraie October-16-11 4:31:13 PM</t>
      </text>
    </comment>
    <comment authorId="0" ref="BK37">
      <text>
        <t xml:space="preserve">For each execution, an oracle determines whether fatal failures or HTML well-formedness failures occur, the latter via use of an HTML validator.</t>
      </text>
    </comment>
    <comment authorId="0" ref="BT37">
      <text>
        <t xml:space="preserve">From the paper: our
technique is white-box...
 --Mirshokraie October-16-11 4:41:27 PM</t>
      </text>
    </comment>
    <comment authorId="0" ref="CG37">
      <text>
        <t xml:space="preserve">It is based on combined concrete and symbolic execution.
 --Mirshokraie October-16-11 4:42:52 PM</t>
      </text>
    </comment>
    <comment authorId="0" ref="CY37">
      <text>
        <t xml:space="preserve">They also measure line coverage. --Mirshokraie October-16-11 4:53:27 PM</t>
      </text>
    </comment>
    <comment authorId="0" ref="DC37">
      <text>
        <t xml:space="preserve">discovering HTML
malformedness faults in PHP applications
they used WDG offline HTML validator: The analysis uses
an HTML validator and covers the whole language standard. They
performed evaluation on a set of applications overlapping with
Minamide’s which presents a static analysis for discovering HTML
malformedness faults in PHP applications. 
--Mirshokraie October-16-11 4:47:57 PM</t>
      </text>
    </comment>
    <comment authorId="0" ref="EF37">
      <text>
        <t xml:space="preserve">1712+4718+8181+16634</t>
      </text>
    </comment>
    <comment authorId="0" ref="F38">
      <text>
        <t xml:space="preserve">I'm agree with selected items. 
--Mirshokraie March-09-12 10:38:39 PM</t>
      </text>
    </comment>
    <comment authorId="0" ref="BT38">
      <text>
        <t xml:space="preserve">HTML source code
 --vgarousi Sun Sep 25 2011 19:06:03 GMT-0600 (Mountain Daylight Time)</t>
      </text>
    </comment>
    <comment authorId="0" ref="CD38">
      <text>
        <t xml:space="preserve">analysis of HTML code
 --vgarousi Sun Sep 25 2011 19:06:19 GMT-0600 (Mountain Daylight Time)</t>
      </text>
    </comment>
    <comment authorId="0" ref="CQ38">
      <text>
        <t xml:space="preserve">test code in TTCN
 --vgarousi Sun Sep 25 2011 19:06:36 GMT-0600 (Mountain Daylight Time)</t>
      </text>
    </comment>
    <comment authorId="0" ref="F39">
      <text>
        <t xml:space="preserve">Test-case Design is based on use cases (a form of requirements). Thus I think it is somewhat criteria-based. 
Why do we have BM=x? BH=x already.
"Manual versus Automated testing": the tool generates tests from use case automatically, so CD=""
There is really no evaluations in the paper.
notes in CM: "if selenium can, yes": I do not think selenium can make AJAX calls. I have used it.
DK=x?
 --vgarousi Tue Feb 21 2012 20:56:28 GMT-0700 (Mountain Standard Time)</t>
      </text>
    </comment>
    <comment authorId="0" ref="G39">
      <text>
        <t xml:space="preserve">for criteria I looked for coverage criteria, requirements need to be human processed. if req is a criteria then please feel free to correct the marking
i agree with your other comments</t>
      </text>
    </comment>
    <comment authorId="0" ref="N39">
      <text>
        <t xml:space="preserve">discuss item
 --amesbah Tue Aug 02 2011 17:16:28 GMT-0700 (PDT)</t>
      </text>
    </comment>
    <comment authorId="0" ref="W39">
      <text>
        <t xml:space="preserve">so shouldn't we include tool papers?
I would say we should.
 --vgarousi Wed Aug 03 2011 16:55:51 GMT-0600 (Mountain Daylight Time)</t>
      </text>
    </comment>
    <comment authorId="0" ref="CQ39">
      <text>
        <t xml:space="preserve">Selenium test code
</t>
      </text>
    </comment>
    <comment authorId="0" ref="EB39">
      <text>
        <t xml:space="preserve">I put this here so that we get the right count for the tools proposed in papers
--vgarousi Tue Feb 21 2012 21:03:23 GMT-0700 (Mountain Standard Time)</t>
      </text>
    </comment>
    <comment authorId="0" ref="F40">
      <text>
        <t xml:space="preserve">Added notes to AU, BV
I wonder why do you think CH should be x? I do not see a manual comparison for the purpose of evaluation 
 --vgarousi Tue Feb 21 2012 21:24:22 GMT-0700 (Mountain Standard Time)</t>
      </text>
    </comment>
    <comment authorId="0" ref="G40">
      <text>
        <t xml:space="preserve">ch=x? there is a manual comparison to asses the learned model. yes, it is not for the purpose of evaluation. so i unchecked.
should this paper not be in this SM, since we checked for evaluations?
 --aysubetincan Mon Mar 26 2012 11:47:15 GMT+0300 (GTB Daylight Time)</t>
      </text>
    </comment>
    <comment authorId="0" ref="BH40">
      <text>
        <t xml:space="preserve">See Section 3.1 Input philosophy
 --vgarousi Tue Feb 21 2012 21:23:59 GMT-0700 (Mountain Standard Time)</t>
      </text>
    </comment>
    <comment authorId="0" ref="CJ40">
      <text>
        <t xml:space="preserve">See Section 3.2 Recording test cases
 --vgarousi Tue Feb 21 2012 21:25:10 GMT-0700 (Mountain Standard Time)</t>
      </text>
    </comment>
    <comment authorId="0" ref="F41">
      <text>
        <t xml:space="preserve">Shouldn't the X under AI be under AD instead?
They also propose a tool called WAM, so should AE=X?
The X under AV better be under AT. It is a Test-case Design approach.
They propose coverage criteria: command-form, and input-parameter. coverage -&gt; AG=X?
 --vgarousi Tue Feb 21 2012 21:36:22 GMT-0700 (Mountain Standard Time)</t>
      </text>
    </comment>
    <comment authorId="0" ref="AP41">
      <text>
        <t xml:space="preserve">a new technique for automatically discovering the interfaces of a web application. It is based on a static analysis algorithm. The technique helps generating test cases. --Mirshokraie March-20-12 1:21:28 PM</t>
      </text>
    </comment>
    <comment authorId="0" ref="BT41">
      <text>
        <t xml:space="preserve">They use source code to derive set of interfaces. Later, they use these set of interfaces for generating test cases. 
--Mirshokraie October-17-11 4:31:44 PM</t>
      </text>
    </comment>
    <comment authorId="0" ref="CO41">
      <text>
        <t xml:space="preserve">They measured coverage for four criteria: basic block, branch, command-form, and input-parameter. coverage 
--Mirshokraie October-17-11 4:42:42 PM</t>
      </text>
    </comment>
    <comment authorId="0" ref="CY41">
      <text>
        <t xml:space="preserve">Coverage for four criteria: basic block, branch, command-form, and input-parameter coverage. --Mirshokraie October-17-11 4:44:59 PM</t>
      </text>
    </comment>
    <comment authorId="0" ref="DE41">
      <text>
        <t xml:space="preserve">They ran spider and wam on subjects, counted the number of interfaces extracted by the two tools, and compared these numbers. They also Manually inspect servlets that showed a
high difference in the number of interfaces discovered by spider
and wam to check the correctness of results.
 --Mirshokraie October-17-11 4:47:52 PM</t>
      </text>
    </comment>
    <comment authorId="0" ref="EF41">
      <text>
        <t xml:space="preserve">19402+ 5415+ 10702+ 5529+ 7164+ 4670+ 16089</t>
      </text>
    </comment>
    <comment authorId="0" ref="EH41">
      <text>
        <t xml:space="preserve">2 student developed --Mirshokraie October-17-11 5:06:49 PM</t>
      </text>
    </comment>
    <comment authorId="0" ref="EJ41">
      <text>
        <t xml:space="preserve">5 commercial --Mirshokraie October-17-11 5:07:05 PM</t>
      </text>
    </comment>
    <comment authorId="0" ref="F42">
      <text>
        <t xml:space="preserve">-Why BE=x? I thought maybe BD instead?
V: done
- for the "technique used", can we choose BP and BR? 
V: yes, good suggestion
 --Mirshokraie March-10-12 2:13:09 AM</t>
      </text>
    </comment>
    <comment authorId="0" ref="BL42">
      <text>
        <t xml:space="preserve">Testability Metrics
   --vgarousi Sun Sep 25 2011 19:13:56 GMT-0600 (Mountain Daylight Time)</t>
      </text>
    </comment>
    <comment authorId="0" ref="BO42">
      <text>
        <t xml:space="preserve">see Section 5.2
"in both client and server-side code"
 --vgarousi Sun Sep 25 2011 19:14:50 GMT-0600 (Mountain Daylight Time)</t>
      </text>
    </comment>
    <comment authorId="0" ref="BT42">
      <text>
        <t xml:space="preserve">JS and HTML code: # of fields, etc
 --vgarousi Sun Sep 25 2011 19:15:21 GMT-0600 (Mountain Daylight Time)</t>
      </text>
    </comment>
    <comment authorId="0" ref="CR42">
      <text>
        <t xml:space="preserve">Testability Measures  
</t>
      </text>
    </comment>
    <comment authorId="0" ref="CU42">
      <text>
        <t xml:space="preserve">Web Application Testability Tool (WATT)
 --vgarousi Sun Sep 25 2011 19:16:40 GMT-0600 (Mountain Daylight Time)</t>
      </text>
    </comment>
    <comment authorId="0" ref="EK42">
      <text>
        <t xml:space="preserve">although the authors say explicitly in:
Crawlability metrics for automated web testing
that that paper is the extended version of this one, the two papers are a bit different. we should include both of them
 --vgarousi Tue Aug 23 2011 07:45:43 GMT-0600 (Mountain Daylight Time)</t>
      </text>
    </comment>
    <comment authorId="0" ref="F43">
      <text>
        <t xml:space="preserve">All good
 --vgarousi Tue Feb 21 2012 22:07:35 GMT-0700 (Mountain Standard Time)</t>
      </text>
    </comment>
    <comment authorId="0" ref="AU43">
      <text>
        <t xml:space="preserve">A comparison study
This paper explores three different strategies to integrate
the use of program coverage-based requirements and usage-based requirements in relation to test suite reduction. 
-Mirshokraie October-18-11 12:09:48 AM</t>
      </text>
    </comment>
    <comment authorId="0" ref="BL43">
      <text>
        <t xml:space="preserve">test suite reduction. 
--Mirshokraie October-18-11 12:13:05 AM</t>
      </text>
    </comment>
    <comment authorId="0" ref="BU43">
      <text>
        <t xml:space="preserve">program coverage-based requirements and
usage-based requirements. --Mirshokraie October-18-11 1:22:50 AM</t>
      </text>
    </comment>
    <comment authorId="0" ref="CJ43">
      <text>
        <t xml:space="preserve">Original suite is replayed and the datastore state after
each session is stored. When the corresponding session appears in the reduced suite, the state of the application is
restored to the state before the current session.
 --Mirshokraie October-18-11 2:17:02 AM</t>
      </text>
    </comment>
    <comment authorId="0" ref="CR43">
      <text>
        <t xml:space="preserve">reduced test suite</t>
      </text>
    </comment>
    <comment authorId="0" ref="CZ43">
      <text>
        <t xml:space="preserve">Manually seeding faults which are exercised specifically by a reduced suite from a given requirement. 
From the paper: We use the struct oracle comparator, which compares the structure of the output HTML pages.
From the paper: Method-adequacy, the least expensive program coverage adequacy measure, was used in our experiments. --Mirshokraie October-18-11 1:53:11 AM</t>
      </text>
    </comment>
    <comment authorId="0" ref="F44">
      <text>
        <t xml:space="preserve">-Can't we choose AX? (invariants as oracles?)
V: you are right. changed
-Can we also choose BK?
V: yes. "Fig. 1. An inferred state-ﬂow graph"
-in addition to TUDU, Coachjezelf has also been used in the evaluation for revealing real-life bugs. TheOrganizer, TaskFreak, Tunnel, and HitList have been used to assess the extent of meaningful
invariants that can be obtained for AJAX applications.  
- --Mirshokraie March-10-12 1:38:35 PM</t>
      </text>
    </comment>
    <comment authorId="0" ref="AQ44">
      <text>
        <t xml:space="preserve">called Atusa
 --vgarousi Thu Sep 22 2011 07:41:11 GMT-0600 (Mountain Daylight Time)</t>
      </text>
    </comment>
    <comment authorId="0" ref="AR44">
      <text>
        <t xml:space="preserve">Crawljax is used to buid a test model of the DOM states (State-Flow Graph)
--vgarousi Thu Sep 22 2011 07:41:39 GMT-0600 (Mountain Daylight Time)</t>
      </text>
    </comment>
    <comment authorId="0" ref="AY44">
      <text>
        <t xml:space="preserve">they do 3 comprehensive case studies
 --vgarousi Thu Sep 22 2011 07:48:40 GMT-0600 (Mountain Daylight Time)</t>
      </text>
    </comment>
    <comment authorId="0" ref="BF44">
      <text>
        <t xml:space="preserve">Dynamic Verification is done before testing to derive the test model (State-Flow Graph)
--vgarousi Thu Sep 22 2011 07:49:12 GMT-0600 (Mountain Daylight Time)</t>
      </text>
    </comment>
    <comment authorId="0" ref="BG44">
      <text>
        <t xml:space="preserve">they say: 
"the test model is used to execute different paths to cover the state machine in different ways. "
 --vgarousi Thu Sep 22 2011 07:51:28 GMT-0600 (Mountain Daylight Time)</t>
      </text>
    </comment>
    <comment authorId="0" ref="BI44">
      <text>
        <t xml:space="preserve">they automatically create JUnit test code</t>
      </text>
    </comment>
    <comment authorId="0" ref="BK44">
      <text>
        <t xml:space="preserve">invariants as oracles</t>
      </text>
    </comment>
    <comment authorId="0" ref="BW44">
      <text>
        <t xml:space="preserve">crawled</t>
      </text>
    </comment>
    <comment authorId="0" ref="BY44">
      <text>
        <t xml:space="preserve">Fig. 1. An inferred state-ﬂow graph</t>
      </text>
    </comment>
    <comment authorId="0" ref="CP44">
      <text>
        <t xml:space="preserve">based on invariants
 --vgarousi Sun Sep 25 2011 19:21:21 GMT-0600 (Mountain Daylight Time)</t>
      </text>
    </comment>
    <comment authorId="0" ref="CQ44">
      <text>
        <t xml:space="preserve">JUnit test code is created automatically
  --vgarousi Sun Sep 25 2011 19:21:01 GMT-0600 (Mountain Daylight Time)</t>
      </text>
    </comment>
    <comment authorId="0" ref="DC44">
      <text>
        <t xml:space="preserve">they do a good job in it:
They have a RQ on "fault revealing capability and effectiveness"
and performance/scalability
</t>
      </text>
    </comment>
    <comment authorId="0" ref="EC44">
      <text>
        <t xml:space="preserve">part of http://crawljax.com/download/
 --vgarousi Sun Sep 25 2011 19:23:47 GMT-0600 (Mountain Daylight Time)</t>
      </text>
    </comment>
    <comment authorId="0" ref="EF44">
      <text>
        <t xml:space="preserve">12K+11580 Tudo
+10,000 Coachjezelf
</t>
      </text>
    </comment>
    <comment authorId="0" ref="EI44">
      <text>
        <t xml:space="preserve">TheOrganizer
TaskFreak
HitList
TheTunnel
TUDU 12KLOC Java/JSP, 3K forms
 --vgarousi Sun Sep 25 2011 19:28:42 GMT-0600 (Mountain Daylight Time)</t>
      </text>
    </comment>
    <comment authorId="0" ref="EJ44">
      <text>
        <t xml:space="preserve">Coachjezelf
 --vgarousi Sun Sep 25 2011 19:29:09 GMT-0600 (Mountain Daylight Time)</t>
      </text>
    </comment>
    <comment authorId="0" ref="F45">
      <text>
        <t xml:space="preserve">The research facet could be AL: 3-Evaluation Research, since the evaluation is quite comprehensive.
Since fault seeding is done, CG=x, CI=""
They say: ""we modified the Perl scripts that generated web pages and we added a server-side...", thus "Web-server-tier Web Technology" = Perl
And they say "Javascript event handlers" ni p.16, so Client-tier Web Technology = Javascript 
 --vgarousi Sat Feb 25 2012 15:26:28 GMT-0700 (Mountain Standard Time)</t>
      </text>
    </comment>
    <comment authorId="0" ref="AP45">
      <text>
        <t xml:space="preserve">From the paper: We have presented a new approach for testing web applications and several techniques for implementing that approach. These new techniques differ from existing techniques in that they leverage captured user behavior to generate test cases. 
--Mirshokraie October-18-11 11:23:20 PM</t>
      </text>
    </comment>
    <comment authorId="0" ref="BD45">
      <text>
        <t xml:space="preserve">They present several techniques for using user session data gathered as users operate web applications to help test those applications from
a functional standpoint. --Mirshokraie October-18-11 11:25:02 PM</t>
      </text>
    </comment>
    <comment authorId="0" ref="BG45">
      <text>
        <t xml:space="preserve">Also, title of Section 3.3 "Integrating User Session and White Box Techniques"
--vgarousi Sat Feb 25 2012 15:27:33 GMT-0700 (Mountain Standard Time)
They propose a testing approach which uses data captured during user sessions to create test cases, potentially reducing the effort involved when test engineers
are required to generate test cases. --Mirshokraie October-18-11 11:29:45 PM</t>
      </text>
    </comment>
    <comment authorId="0" ref="BT45">
      <text>
        <t xml:space="preserve">From the paper: Our results show that user session data can be used to produce test suites more effective overall than those produced by the white-box techniques considered; however,
the faults detected by the two classes of techniques differ, suggesting that the techniques are complementary. --Mirshokraie October-19-11 12:00:42 AM</t>
      </text>
    </comment>
    <comment authorId="0" ref="CE45">
      <text>
        <t xml:space="preserve">for the white-box hybrid approach. 
--Mirshokraie October-19-11 12:05:34 AM</t>
      </text>
    </comment>
    <comment authorId="0" ref="CO45">
      <text>
        <t xml:space="preserve">for the hybrid approaches. --Mirshokraie October-19-11 12:09:52 AM</t>
      </text>
    </comment>
    <comment authorId="0" ref="CY45">
      <text>
        <t xml:space="preserve">percentage of functions and basic blocks. --Mirshokraie October-19-11 12:16:21 AM</t>
      </text>
    </comment>
    <comment authorId="0" ref="CZ45">
      <text>
        <t xml:space="preserve">Fault seeding: activating each of the seeded faults individually and executed each test case, comparing relevant outputs to determine whether that test case revealed that fault. --Mirshokraie March-20-12 1:27:59 PM</t>
      </text>
    </comment>
    <comment authorId="0" ref="F46">
      <text>
        <t xml:space="preserve">agree with selected items.
 --Mirshokraie March-11-12 1:10:33 AM</t>
      </text>
    </comment>
    <comment authorId="0" ref="AP46">
      <text>
        <t xml:space="preserve">model checking (verification) using Alloy, 
 --vgarousi Sun Sep 25 2011 19:54:51 GMT-0600 (Mountain Daylight Time)</t>
      </text>
    </comment>
    <comment authorId="0" ref="AR46">
      <text>
        <t xml:space="preserve">a new model called Abstract Description of Interaction (ADI)
 --vgarousi Sun Sep 25 2011 19:30:18 GMT-0600 (Mountain Daylight Time)</t>
      </text>
    </comment>
    <comment authorId="0" ref="BK46">
      <text>
        <t xml:space="preserve">Oracle in form of OCL rules
 --vgarousi Sun Sep 25 2011 19:55:47 GMT-0600 (Mountain Daylight Time)</t>
      </text>
    </comment>
    <comment authorId="0" ref="BV46">
      <text>
        <t xml:space="preserve">Abstract Description of Interaction (ADI), a type of class diagram
 --vgarousi Sun Sep 25 2011 19:57:29 GMT-0600 (Mountain Daylight Time)</t>
      </text>
    </comment>
    <comment authorId="0" ref="BW46">
      <text>
        <t xml:space="preserve">in form of OCL
 --vgarousi Sun Sep 25 2011 19:57:52 GMT-0600 (Mountain Daylight Time)</t>
      </text>
    </comment>
    <comment authorId="0" ref="CT46">
      <text>
        <t xml:space="preserve">creations of models
 --vgarousi Sun Sep 25 2011 19:58:13 GMT-0600 (Mountain Daylight Time)</t>
      </text>
    </comment>
    <comment authorId="0" ref="CU46">
      <text>
        <t xml:space="preserve">running models using Alloy
 --vgarousi Sun Sep 25 2011 19:58:20 GMT-0600 (Mountain Daylight Time)</t>
      </text>
    </comment>
    <comment authorId="0" ref="F47">
      <text>
        <t xml:space="preserve">1)BX: can add statistical/probablistic due to UMM.in addition to checking BW
done
2)CE: provides Perl scripts for analysis. it is semimanual 
V: checked CE
3)inffered model: UMM
V: BL=x
4) DC or DB. server tech is NA
now, DB=x, DC=''
5) DH: www.seas.smu.edu
fixed
--aysubetincan Wed Feb 22 2012 14:04:06 GMT+0200 (GTB Standard Time)</t>
      </text>
    </comment>
    <comment authorId="0" ref="AR47">
      <text>
        <t xml:space="preserve">statistical testing models: actual usage scenarios and related frequencies
 --vgarousi Sun Sep 25 2011 20:01:28 GMT-0600 (Mountain Daylight Time)</t>
      </text>
    </comment>
    <comment authorId="0" ref="BL47">
      <text>
        <t xml:space="preserve">reliability and statistical testing
 --vgarousi Sun Sep 25 2011 20:06:17 GMT-0600 (Mountain Daylight Time)</t>
      </text>
    </comment>
    <comment authorId="0" ref="BV47">
      <text>
        <t xml:space="preserve">Test cases generated by following state transitions in Unified Markov Models
 --vgarousi Sun Sep 25 2011 20:03:14 GMT-0600 (Mountain Daylight Time)</t>
      </text>
    </comment>
    <comment authorId="0" ref="BX47">
      <text>
        <t xml:space="preserve">Unified Markov Models are generated from logs
 --vgarousi Sun Sep 25 2011 20:03:22 GMT-0600 (Mountain Daylight Time)</t>
      </text>
    </comment>
    <comment authorId="0" ref="BZ47">
      <text>
        <t xml:space="preserve">Unified Markov Models UMM
 --vgarousi Sun Feb 26 2012 18:04:37 GMT-0700 (Mountain Standard Time)</t>
      </text>
    </comment>
    <comment authorId="0" ref="CK47">
      <text>
        <t xml:space="preserve">from state-charts  built manually
 --vgarousi Mon Jan 23 2012 10:38:03 GMT-0700 (Mountain Standard Time)</t>
      </text>
    </comment>
    <comment authorId="0" ref="CO47">
      <text>
        <t xml:space="preserve">paths (sequence of web pages)
 --vgarousi Sun Sep 25 2011 20:07:24 GMT-0600 (Mountain Daylight Time)</t>
      </text>
    </comment>
    <comment authorId="0" ref="DE47">
      <text>
        <t xml:space="preserve">reliability analysis of an actual website: www.seas.smu.edu
</t>
      </text>
    </comment>
    <comment authorId="0" ref="DF47">
      <text>
        <t xml:space="preserve">see the error types in Table 2
 --vgarousi Sun Sep 25 2011 20:08:27 GMT-0600 (Mountain Daylight Time)</t>
      </text>
    </comment>
    <comment authorId="0" ref="F48">
      <text>
        <t xml:space="preserve">I added the model name in AF
They also derive test inputs from their statecharts, so should AT/Test-case Design (Criteria-based)=x too?
Given that BL=X, Why do we have BM=X?
It seems that they have 2 SUT: Base Converter, and A Number Guessing Game
 --vgarousi Sat Feb 25 2012 15:35:11 GMT-0700 (Mountain Standard Time)</t>
      </text>
    </comment>
    <comment authorId="0" ref="G48">
      <text>
        <t xml:space="preserve">BM=X? 2 inputs:spec and   model. models from statechart but specs are not.
 --aysubetincan Mon Mar 26 2012 12:12:15 GMT+0300 (GTB Daylight Time)</t>
      </text>
    </comment>
    <comment authorId="0" ref="AR48">
      <text>
        <t xml:space="preserve">Browser Navigation Model (Section 4)
 --vgarousi Sat Feb 25 2012 15:34:46 GMT-0700 (Mountain Standard Time)</t>
      </text>
    </comment>
    <comment authorId="0" ref="BV48">
      <text>
        <t xml:space="preserve">spec </t>
      </text>
    </comment>
    <comment authorId="0" ref="EB48">
      <text>
        <t xml:space="preserve">They use (do not present) an existing  test tool called G∀ST
(in abstract). --vgarousi Sat Feb 25 2012 15:41:17 GMT-0700 (Mountain Standard Time)</t>
      </text>
    </comment>
    <comment authorId="0" ref="F49">
      <text>
        <t xml:space="preserve">1) SUT: workforce management WFM
done
2)NModel is their tool but presented in [10] not here
done
--aysubetincan Wed Feb 22 2012 14:53:08 GMT+0200 (GTB Standard Time)</t>
      </text>
    </comment>
    <comment authorId="0" ref="AR49">
      <text>
        <t xml:space="preserve">Model-Based Testing
 --vgarousi Sun Sep 25 2011 20:10:14 GMT-0600 (Mountain Daylight Time)</t>
      </text>
    </comment>
    <comment authorId="0" ref="BJ49">
      <text>
        <t xml:space="preserve">a "test harness" is built
 --vgarousi Sun Sep 25 2011 20:15:48 GMT-0600 (Mountain Daylight Time)</t>
      </text>
    </comment>
    <comment authorId="0" ref="EB49">
      <text>
        <t xml:space="preserve">They use NModel 
--vgarousi Sun Feb 26 2012 18:09:26 GMT-0700 (Mountain Standard Time)</t>
      </text>
    </comment>
    <comment authorId="0" ref="EJ49">
      <text>
        <t xml:space="preserve">WorkForce Management (WFM), by Reach-U ltd
 --vgarousi Sun Sep 25 2011 20:13:19 GMT-0600 (Mountain Daylight Time)</t>
      </text>
    </comment>
    <comment authorId="0" ref="F50">
      <text>
        <t xml:space="preserve">Agree
--vgarousi Sat Feb 25 2012 15:44:28 GMT-0700 (Mountain Standard Time)</t>
      </text>
    </comment>
    <comment authorId="0" ref="G50">
      <text>
        <t xml:space="preserve">Can we consider fault severity models as test models? I think test model is a different concept.
With respect to excluding this paper you may want to talk to Ali.
V: you are right. Let's keep things as they are.
 --Mirshokraie March-20-12 1:32:17 PM</t>
      </text>
    </comment>
    <comment authorId="0" ref="AU50">
      <text>
        <t xml:space="preserve">They present two models of fault
severity, human annotation based and automated fault severity predictor, that outperform humans in terms of accurately
predicting the average severity of web application faults. These models can substitute or reinforce humans by prioritizing faults
encountered in web application development and testing. --Mirshokraie October-20-11 12:17:45 AM</t>
      </text>
    </comment>
    <comment authorId="0" ref="BD50">
      <text>
        <t xml:space="preserve">In fact their model can help developers
to focus on bugs that consumers care about.
 --Mirshokraie October-20-11 12:27:31 AM</t>
      </text>
    </comment>
    <comment authorId="0" ref="CA50">
      <text>
        <t xml:space="preserve">There is no test artifact...human annotation based model fault relies on human annotators to label each fault with its respective features. The automated fault severity predictor relies on the same decision tree architecture as the human-dependent model, but approximates the features labels automatically by examining HTML code. --Mirshokraie October-20-11 12:34:24 AM</t>
      </text>
    </comment>
    <comment authorId="0" ref="CL50">
      <text>
        <t xml:space="preserve">N/A
no test artifact to derive... they model fault severity. Consumer-perceived severity is calculated by a manually constructed decision tree that they engineered through an analysis of 300 of the
400 real-world faults chosen at random.
--Mirshokraie October-20-11 12:40:49 AM</t>
      </text>
    </comment>
    <comment authorId="0" ref="DC50">
      <text>
        <t xml:space="preserve">They measure savings associated with their automated tool in terms of the number
of non-severe faults. For the human annotation based model, they compare the model’s performance to that of subjects from their human study. They evaluate the performance of their model by performing some statistical analysis on the data such as calculating Spearman’s Ranking Correlation Coefficient, ANOVA, ...
  --Mirshokraie October-20-11 12:49:52 AM</t>
      </text>
    </comment>
    <comment authorId="0" ref="DG50">
      <text>
        <t xml:space="preserve">These fault models can be used in dynamic or static web sites. --Mirshokraie October-20-11 1:06:55 AM</t>
      </text>
    </comment>
    <comment authorId="0" ref="DM50">
      <text>
        <t xml:space="preserve">The automated tool examines html outputs. --Mirshokraie October-20-11 1:10:56 AM</t>
      </text>
    </comment>
    <comment authorId="0" ref="F51">
      <text>
        <t xml:space="preserve">I put the model names in AF (component interaction model, and Web application transition graph). Are they correct?
BC-BE: Why only Integration testing? Could also be system testing?
BM: Could you also please put in notes area why "Other" Source of information needed to derive Test artifacts?
--vgarousi Sat Feb 25 2012 15:57:14 GMT-0700 (Mountain Standard Time)</t>
      </text>
    </comment>
    <comment authorId="0" ref="AR51">
      <text>
        <t xml:space="preserve">component interaction model, Web application transition graph
 --vgarousi Sat Feb 25 2012 15:57:08 GMT-0700 (Mountain Standard Time)</t>
      </text>
    </comment>
    <comment authorId="0" ref="BY51">
      <text>
        <t xml:space="preserve">transitions:control flow between pages/files  (GTB Daylight Time)</t>
      </text>
    </comment>
    <comment authorId="0" ref="F52">
      <text>
        <t xml:space="preserve">mutation: " introducing errors into the benchmark programs at random."
--aysubetincan Thu Feb 23 2012 18:27:43 GMT+0200 (Turkey Standard Time)</t>
      </text>
    </comment>
    <comment authorId="0" ref="AQ52">
      <text>
        <t xml:space="preserve">Static analysis tool that is capable of reasoning about the flow of control and data in JavaScript web applications.
--Mirshokraie October-20-11 11:54:29 PM</t>
      </text>
    </comment>
    <comment authorId="0" ref="AR52">
      <text>
        <t xml:space="preserve">Modeling both the DOM model of the HTML page and browser API. --Mirshokraie October-20-11 11:52:56 PM</t>
      </text>
    </comment>
    <comment authorId="0" ref="BL52">
      <text>
        <t xml:space="preserve">Static analysis capable
of reasoning precisely about the control flow and data flow in
JavaScript applications that run in a browser environment. The analysis is capable of (1) showing absence of common programming errors (2) help detecting potential errors,
such as misspelled property names (3) precise computed call
graphs(4) precise computed types (5) identifying dead code and unreachable functions. These
formation can give a foundation for providing better tool
support for JavaScript web application developers.
--Mirshokraie October-21-11 12:11:20 AM</t>
      </text>
    </comment>
    <comment authorId="0" ref="BV52">
      <text>
        <t xml:space="preserve">control and data flow graph, modeling html DOM and events --Mirshokraie October-21-11 12:51:30 AM</t>
      </text>
    </comment>
    <comment authorId="0" ref="CD52">
      <text>
        <t xml:space="preserve">from HTML element object hierarchy and the event-driven execution model. 
--Mirshokraie October-21-11 1:26:09 AM</t>
      </text>
    </comment>
    <comment authorId="0" ref="CK52">
      <text>
        <t xml:space="preserve">from HTML element object hierarchy and the event-driven execution model. 
--Mirshokraie October-21-11 1:26:09 AM</t>
      </text>
    </comment>
    <comment authorId="0" ref="CO52">
      <text>
        <t xml:space="preserve">flow of control and
data --Mirshokraie October-21-11 1:28:49 AM</t>
      </text>
    </comment>
    <comment authorId="0" ref="DC52">
      <text>
        <t xml:space="preserve">1) analysis precision: to what extent can the analysis show the absence of errors in real programs
2) help in finding errors: introducing errors into the benchmark programs at random. Run the analysis repeatedly and manually inspect
whether each spelling error results in a warning by the analysis tool and how "useful" this warning is.
3) call graph precision: calculating the ratio of call sites with a single invocation target compared to the total
number of call sites.
4) inferred types precision: calculating the average number of different types for all property read operations.
5) identifying dead or unreachable code
--Mirshokraie October-21-11 1:34:23 AM</t>
      </text>
    </comment>
    <comment authorId="0" ref="DR52">
      <text>
        <t xml:space="preserve">Implemented in Java and
uses the JavaScript parser from the Mozilla Rhino project. --Mirshokraie October-21-11 1:47:55 AM</t>
      </text>
    </comment>
    <comment authorId="0" ref="EF52">
      <text>
        <t xml:space="preserve">between 100 and 3000
53*(AVG, 100, 3000)</t>
      </text>
    </comment>
    <comment authorId="0" ref="F53">
      <text>
        <t xml:space="preserve">1)why BH is marked? other column could be marked 
2) check BY: created test inputs automatically by solving the contraints-
3) check manual comparison
-aysubetincan Thu Feb 23 2012 23:57:19 GMT+0200 (Turkey Standard Time)</t>
      </text>
    </comment>
    <comment authorId="0" ref="W53">
      <text>
        <t xml:space="preserve">
"testing" appears 77 times in the paper. The proposed tool also generates test suites. See abstract.
Also, they do "CONCRETE AND SYMBOLIC
EXECUTION"
 --vgarousi Wed Aug 03 2011 16:52:06 GMT-0600 (Mountain Daylight Time)</t>
      </text>
    </comment>
    <comment authorId="0" ref="AP53">
      <text>
        <t xml:space="preserve">Several fault localization techniques have been implemented that combine variations on Tarantula algorithm with the use of the output mapping. It is  a fully automated tool for failure detection
and fault localization for Web applications written in PHP. --Mirshokraie October-26-11 1:33:50 AM</t>
      </text>
    </comment>
    <comment authorId="0" ref="AQ53">
      <text>
        <t xml:space="preserve">Apollo --Mirshokraie October-26-11 1:35:33 AM</t>
      </text>
    </comment>
    <comment authorId="0" ref="BG53">
      <text>
        <t xml:space="preserve">rely on combined concrete and symbolic
execution to generate a large number of passing and failing test cases.
--Mirshokraie October-26-11 1:55:29 AM</t>
      </text>
    </comment>
    <comment authorId="0" ref="BJ53">
      <text>
        <t xml:space="preserve">execute an application on some initial (e.g., empty or randomly chosen) input, and then on additional inputs obtained by solving constraints derived from exercised control flow paths. Failures that occur during these executions are reported
to the user.</t>
      </text>
    </comment>
    <comment authorId="0" ref="BN53">
      <text>
        <t xml:space="preserve">From the paper: We present the first fully automatic tool that finds and localizes malformed HTML errors in Web
applications that execute PHP code on the server side. --Mirshokraie October-26-11 2:02:14 AM</t>
      </text>
    </comment>
    <comment authorId="0" ref="CA53">
      <text>
        <t xml:space="preserve">Using a constraint solver to find a concrete input that satisfies a path constraint from the selected test (the criteria of selecting tests from the queue prefers tests that will
cover additional code)</t>
      </text>
    </comment>
    <comment authorId="0" ref="CG53">
      <text>
        <t xml:space="preserve">combined concrete and symbolic execution. --Mirshokraie October-26-11 2:28:59 AM</t>
      </text>
    </comment>
    <comment authorId="0" ref="CN53">
      <text>
        <t xml:space="preserve">Creating new test inputs by solving path constraint. New tests for each transition not explored before will be added (control-flow paths are exercised). --Mirshokraie March-20-12 1:44:18 PM</t>
      </text>
    </comment>
    <comment authorId="0" ref="DA53">
      <text>
        <t xml:space="preserve">Manually localizing faults --Mirshokraie October-26-11 2:47:26 AM</t>
      </text>
    </comment>
    <comment authorId="0" ref="DC53">
      <text>
        <t xml:space="preserve">Research questions are (i) How effective is the Tarantula fault localization technique
in the domain of PHP web applications?
(ii) How effective is Tarantula, when combined with the use of an output mapping and/or when modeling the outcome of conditional expressions.
--- 
Using html validator as an oracle, manually localizing faults for investigating the effectiveness of the automatic fault localization technique, devising a patch for each fault and ensuring that applying this patch fixes the problem (by running the tests again, and making sure that the associated failures did not recur).
--Mirshokraie October-26-11 2:47:54 AM</t>
      </text>
    </comment>
    <comment authorId="0" ref="EF53">
      <text>
        <t xml:space="preserve">734+ 2226+ 4263+ 13879</t>
      </text>
    </comment>
    <comment authorId="0" ref="F54">
      <text>
        <t xml:space="preserve">tech is JSP and servlets,not Java. check coloumn BA not AZ --aysubetincan Fri Feb 24 2012 00:42:33 GMT+0200 (Turkey Standard Time)</t>
      </text>
    </comment>
    <comment authorId="0" ref="AU54">
      <text>
        <t xml:space="preserve">quality assurance technique for web applications-- a new approach for
interface identification that is based on symbolic execution. The approach uses symbolic values to precisely model input parameters to the web application and identify their domain constraints. --Mirshokraie October-28-11 1:47:12 AM</t>
      </text>
    </comment>
    <comment authorId="0" ref="BL54">
      <text>
        <t xml:space="preserve">the focus of the paper is on interface identification, however they also show that the set of identified interfaces can improve test input generation in terms of coverage and size. Moreover, they show that it can improve penetration testing, as well as invocation verification.  --Mirshokraie October-28-11 1:50:42 AM</t>
      </text>
    </comment>
    <comment authorId="0" ref="BQ54">
      <text>
        <t xml:space="preserve">Coverage: basic block, branch, and database command form (it can be used to improve the test input generation). --Mirshokraie October-28-11 1:55:08 AM</t>
      </text>
    </comment>
    <comment authorId="0" ref="CN54">
      <text>
        <t xml:space="preserve">to show how the identified interfaces can improve test input generation (in evaluation section), they generate test
cases by solving the constraints in each interface domain constraint (IDC) using constraint solver. they use the
values in the solution as test inputs. --Mirshokraie October-28-11 2:09:59 AM</t>
      </text>
    </comment>
    <comment authorId="0" ref="CR54">
      <text>
        <t xml:space="preserve">They generate test suites using application's interface information obtained from the proposed technique.
 --Mirshokraie October-28-11 1:59:29 AM</t>
      </text>
    </comment>
    <comment authorId="0" ref="CU54">
      <text>
        <t xml:space="preserve">set of accepted user interfaces are obtained automatically. Next, to show how it can improve test input generation (in evaluation section), they generate test
cases by solving the constraints in each interface domain constraint (IDC) using constraint solver. they use the
values in the solution as test inputs. --Mirshokraie October-28-11 2:05:45 AM</t>
      </text>
    </comment>
    <comment authorId="0" ref="CY54">
      <text>
        <t xml:space="preserve">To monitor basic-block and branch coverage,
Cobertura is used and to measure command-form coverage Ditto is used. --Mirshokraie October-28-11 2:26:04 AM</t>
      </text>
    </comment>
    <comment authorId="0" ref="DA54">
      <text>
        <t xml:space="preserve">For penetration testing they manually inspected the code. --Mirshokraie October-28-11 2:28:59 AM</t>
      </text>
    </comment>
    <comment authorId="0" ref="DB54">
      <text>
        <t xml:space="preserve">They compare their approach against three other techniques, wam-df, spider, and dfw. 
They evaluate (i) Efficiency: time requirements
(ii) precision
(iii) usefullness: Invocation Verication, Penetration Testing (SQLMap has been used), test input generation (coverage)
   --Mirshokraie October-28-11 2:20:20 AM</t>
      </text>
    </comment>
    <comment authorId="0" ref="EF54">
      <text>
        <t xml:space="preserve">19402+ 10759+ 5529+ 7164</t>
      </text>
    </comment>
    <comment authorId="0" ref="F55">
      <text>
        <t xml:space="preserve">AI: Wouldn't "Test Case Prioritization" be a new Test method / technique (AD=X and AI=0)?
The evaluation is rigorous. So I think it deserves AK or even AL.
Shouldn't AQ=x? (Test Case Prioritization)
I added "Test Case Prioritization" to AY notes
BJ=x? BM=""? From title: *User-session-based* Test Cases for Web Applications Testing
I think we can write "Test case order" in CC
CR=x?
We have put in DI: 18,015=7615+9401+999 (from Table 6)
 --vgarousi Sat Feb 25 2012 16:06:17 GMT-0700 (Mountain Standard Time)</t>
      </text>
    </comment>
    <comment authorId="0" ref="AP55">
      <text>
        <t xml:space="preserve">prioritize existing test suite 
</t>
      </text>
    </comment>
    <comment authorId="0" ref="CL55">
      <text>
        <t xml:space="preserve">6 Test Case Prioritization Strategies have been proposed (page 3)
 --vgarousi Mon Jan 23 2012 10:40:04 GMT-0700 (Mountain Standard Time)</t>
      </text>
    </comment>
    <comment authorId="0" ref="CR55">
      <text>
        <t xml:space="preserve">Test case order</t>
      </text>
    </comment>
    <comment authorId="0" ref="F56">
      <text>
        <t xml:space="preserve">1) BF and BK: DOM can count as source  code or infferred model at least.
fixed
2) creates test cases  (column BY) and test code
fixed
3) check cp: javascript
fixed
4) check DB:NA
fixed
--aysubetincan Fri Feb 24 2012 00:52:36 GMT+0200 (Turkey Standard Time)</t>
      </text>
    </comment>
    <comment authorId="0" ref="AR56">
      <text>
        <t xml:space="preserve">state model extracted from Document Object Model (DOM)
 --vgarousi Thu Sep 29 2011 16:10:36 GMT-0600 (Mountain Daylight Time)</t>
      </text>
    </comment>
    <comment authorId="0" ref="BK56">
      <text>
        <t xml:space="preserve">Visualizations of test failure
 --vgarousi Thu Sep 29 2011 16:02:01 GMT-0600 (Mountain Daylight Time)</t>
      </text>
    </comment>
    <comment authorId="0" ref="BY56">
      <text>
        <t xml:space="preserve">Model is called inferred State-ﬂow Graph
 --vgarousi Thu Sep 29 2011 16:03:17 GMT-0600 (Mountain Daylight Time)</t>
      </text>
    </comment>
    <comment authorId="0" ref="DA56">
      <text>
        <t xml:space="preserve">effectiveness: false positives and false negatives in our case studies, automation ratio, scalablility, </t>
      </text>
    </comment>
    <comment authorId="0" ref="DE56">
      <text>
        <t xml:space="preserve">effectiveness: false positives and false negatives in our case studies, automation ratio, scalablility, </t>
      </text>
    </comment>
    <comment authorId="0" ref="EF56">
      <text>
        <t xml:space="preserve">7615+9401</t>
      </text>
    </comment>
    <comment authorId="0" ref="EG56">
      <text>
        <t xml:space="preserve">these numbers were 1 row above, they were misplaced. --aysubetincan Tue Nov 01 2011 00:05:06 GMT+0200 (Turkey Standard Time)</t>
      </text>
    </comment>
    <comment authorId="0" ref="EI56">
      <text>
        <t xml:space="preserve">HitList
 --vgarousi Thu Sep 29 2011 16:06:32 GMT-0600 (Mountain Daylight Time)</t>
      </text>
    </comment>
    <comment authorId="0" ref="EJ56">
      <text>
        <t xml:space="preserve">Google Reader
 --vgarousi Thu Sep 29 2011 16:06:49 GMT-0600 (Mountain Daylight Time)</t>
      </text>
    </comment>
    <comment authorId="0" ref="F57">
      <text>
        <t xml:space="preserve">I added the info about the tools to AE
I think BK=x, and BL=x
since they crawl the FSMs both manually and automatically, and BM=''
RE: Section 5.4.1 Fault Seeding, so CG=x
 --vgarousi Sat Feb 25 2012 16:20:19 GMT-0700 (Mountain Standard Time)</t>
      </text>
    </comment>
    <comment authorId="0" ref="AP57">
      <text>
        <t xml:space="preserve">Testing technique for
Rich Internet Applications (RIA) that transforms execution traces of an existing application into executable test cases.
 --Mirshokraie November-03-11 2:46:27 AM</t>
      </text>
    </comment>
    <comment authorId="0" ref="AQ57">
      <text>
        <t xml:space="preserve">a set of tools: CreRIA, CrawlRIA, Test Case Generator, Test Case Reducer and DynaRIA
 --vgarousi Sat Feb 25 2012 16:19:54 GMT-0700 (Mountain Standard Time)</t>
      </text>
    </comment>
    <comment authorId="0" ref="BG57">
      <text>
        <t xml:space="preserve">Real execution traces of an RIA (manually and
artificially obtained) are transformed into executable test cases. FSM provides possible
reference model for reducing the test suite into a smaller
one.
 --Mirshokraie November-03-11 3:20:20 AM</t>
      </text>
    </comment>
    <comment authorId="0" ref="CF57">
      <text>
        <t xml:space="preserve">automatically by the CrawlRIA tool
--Mirshokraie November-03-11 4:19:31 AM</t>
      </text>
    </comment>
    <comment authorId="0" ref="CN57">
      <text>
        <t xml:space="preserve">executable test cases --Mirshokraie November-03-11 4:26:26 AM</t>
      </text>
    </comment>
    <comment authorId="0" ref="CY57">
      <text>
        <t xml:space="preserve">FSM State Coverage, FSM Transition, Javascript function Coverage, Javascript LOC Coverage. They also measure the percentage of faults
detected as well as test suit size. --Mirshokraie November-03-11 4:31:20 AM</t>
      </text>
    </comment>
    <comment authorId="0" ref="F58">
      <text>
        <t xml:space="preserve">-I think we can also choose AI (FSM compression)
-I think it is not fully automated (maybe both
CD and CE ?)
 --Mirshokraie March-11-12 5:23:06 PM</t>
      </text>
    </comment>
    <comment authorId="0" ref="G58">
      <text>
        <t xml:space="preserve">-FSM compression, not test related but we could check AI. can we discuss this via email?
-CD and CE; i send an email to all. after model extraction rest is automated. how should we consider it.
aysubetincan Mon Mar 26 2012 15:46:55 GMT+0300 (GTB Daylight Time)</t>
      </text>
    </comment>
    <comment authorId="0" ref="AP58">
      <text>
        <t xml:space="preserve">FSM compression</t>
      </text>
    </comment>
    <comment authorId="0" ref="CK58">
      <text>
        <t xml:space="preserve">fsm
 --vgarousi Mon Jan 23 2012 10:40:58 GMT-0700 (Mountain Standard Time)</t>
      </text>
    </comment>
    <comment authorId="0" ref="F59">
      <text>
        <t xml:space="preserve">1)check BK: tests created from the state model they build
fixed
2)check CP: javascript  
fixed
3) check DB: NA? SUT has jsp
V: I set DA=x (JSP)
4) SUT: Tudu. 10Kline code including java/jsp and mysql
fixed
5) tool names: FSMinstrumentor, FSMExtractor, FSMTestCaseGenerator
fixed
--aysubetincan Fri Feb 24 2012 01:32:38 GMT+0200 (Turkey Standard Time)</t>
      </text>
    </comment>
    <comment authorId="0" ref="AR59">
      <text>
        <t xml:space="preserve">state model extracted from Document Object Model (DOM)
 --vgarousi Thu Sep 29 2011 16:10:39 GMT-0600 (Mountain Daylight Time)</t>
      </text>
    </comment>
    <comment authorId="0" ref="BI59">
      <text>
        <t xml:space="preserve">"We convert them [test cases] into the XML format required by the Selenium tool"
 --vgarousi Thu Sep 29 2011 16:13:32 GMT-0600 (Mountain Daylight Time)</t>
      </text>
    </comment>
    <comment authorId="0" ref="BY59">
      <text>
        <t xml:space="preserve">state models
 --vgarousi Sun Feb 26 2012 18:18:41 GMT-0700 (Mountain Standard Time)</t>
      </text>
    </comment>
    <comment authorId="0" ref="CD59">
      <text>
        <t xml:space="preserve">"We determine the set of methods reacting to events and possibly affecting the DOM by means of a static code analysis. "
 --vgarousi Thu Sep 29 2011 16:12:17 GMT-0600 (Mountain Daylight Time)</t>
      </text>
    </comment>
    <comment authorId="0" ref="EI59">
      <text>
        <t xml:space="preserve">TUDU
http://tudu.ess.ch/tudu/welcome.action
 --vgarousi Thu Sep 29 2011 16:15:56 GMT-0600 (Mountain Daylight Time)</t>
      </text>
    </comment>
    <comment authorId="0" ref="EK59">
      <text>
        <t xml:space="preserve">Alessandro Marchetto, Paolo Tonella: Using search-based algorithms for Ajax event sequence generation during testing. Empirical Software Engineering 16(1): 103-140 (2011)
 --vgarousi Tue Aug 02 2011 16:15:49 GMT-0600 (Mountain Daylight Time)</t>
      </text>
    </comment>
    <comment authorId="0" ref="F60">
      <text>
        <t xml:space="preserve">Section 6 talks about the implementation of a "analyzer". So I guess they are proposing a no-name! tool, AE=x?
CC: Type of test artifact generated could be: context-free grammar, as a test model
DE: no-name analyzer tool?
 --vgarousi Sat Feb 25 2012 16:36:52 GMT-0700 (Mountain Standard Time)</t>
      </text>
    </comment>
    <comment authorId="0" ref="Q60">
      <text>
        <t xml:space="preserve">it works on Vulnerabilities, but it seems to me that it is from functional nature
--vgarousi Tue Aug 02 2011 16:18:43 GMT-0600 (Mountain Daylight Time)</t>
      </text>
    </comment>
    <comment authorId="0" ref="CR60">
      <text>
        <t xml:space="preserve">context-free grammar </t>
      </text>
    </comment>
    <comment authorId="0" ref="EF60">
      <text>
        <t xml:space="preserve">2224+8085+ 843+ 726+ 462+ 890</t>
      </text>
    </comment>
    <comment authorId="0" ref="F61">
      <text>
        <t xml:space="preserve">They also analyze Ajax Client-side code, so shuold AZ=x?
 --vgarousi Sat Feb 25 2012 16:49:51 GMT-0700 (Mountain Standard Time)</t>
      </text>
    </comment>
    <comment authorId="0" ref="AP61">
      <text>
        <t xml:space="preserve">Static analysis that detects non-deterministic
problems caused by asynchronous calls through Ajax. --Mirshokraie November-04-11 1:37:57 AM</t>
      </text>
    </comment>
    <comment authorId="0" ref="BL61">
      <text>
        <t xml:space="preserve">Formulating problems (due to asynchronous requests) as special cases of data race and atomicity violation problems. 
Creating a buggy pattern (rule) in datalog language and analyse the program against these rules.
--Mirshokraie November-04-11 1:41:42 AM</t>
      </text>
    </comment>
    <comment authorId="0" ref="BQ61">
      <text>
        <t xml:space="preserve">at inconsistency/atomicity violation level, --Mirshokraie November-04-11 1:53:07 AM</t>
      </text>
    </comment>
    <comment authorId="0" ref="CD61">
      <text>
        <t xml:space="preserve">perform static program analysis on the code. --Mirshokraie November-04-11 1:58:04 AM</t>
      </text>
    </comment>
    <comment authorId="0" ref="CR61">
      <text>
        <t xml:space="preserve">They create a Data log rules for detecting inconsistency bugs and atomicity violations. -
-Mirshokraie November-04-11 1:59:52 AM</t>
      </text>
    </comment>
    <comment authorId="0" ref="CU61">
      <text>
        <t xml:space="preserve">From the paper: Our technique is fully automated. --Mirshokraie November-04-11 2:01:43 AM</t>
      </text>
    </comment>
    <comment authorId="0" ref="DA61">
      <text>
        <t xml:space="preserve">manually examining reported bugs to confirm
they are real ones. --Mirshokraie November-04-11 2:05:08 AM</t>
      </text>
    </comment>
    <comment authorId="0" ref="DB61">
      <text>
        <t xml:space="preserve">measuring average analyzing time </t>
      </text>
    </comment>
    <comment authorId="0" ref="EF61">
      <text>
        <t xml:space="preserve">706+ 614+ 2989+ 6542+ 8145+ 5561+ 10960+ 76024+ 6378</t>
      </text>
    </comment>
    <comment authorId="0" ref="EJ61">
      <text>
        <t xml:space="preserve">MSN
 --vgarousi Sun Feb 26 2012 10:23:30 GMT-0700 (Mountain Standard Time)</t>
      </text>
    </comment>
    <comment authorId="0" ref="F62">
      <text>
        <t xml:space="preserve">AE: The tool ReWeb was proposed in an earlier paper [5]. So I think this paper does not propose a tool itself.
For Research Facet, I think it deserved more than 1-Solution Proposal, perhaps 2-Validation Research.
Shouldn't it be AQ:(Functional) Testing instead of Dynamic Verification (analysis)?
DE: ReWeb was proposed in [5]. So I guess we should just put TestWeb in DE.
  --vgarousi Sun Feb 26 2012 10:49:16 GMT-0700 (Mountain Standard Time)</t>
      </text>
    </comment>
    <comment authorId="0" ref="EE62">
      <text>
        <t xml:space="preserve">web site is not valid anymore --aysubetincan Thu Nov 03 2011 21:42:22 GMT+0200 (Turkey Standard Time)</t>
      </text>
    </comment>
    <comment authorId="0" ref="F63">
      <text>
        <t xml:space="preserve">Type of Testing Activity: generating test inputs through perturbing regular expressions, in my opinion, would be under AT instead of AY
Type of the Evaluation Method: From the nice discussion you have put in CI, I think we should also  heck CG and CH
--vgarousi Sun Feb 26 2012 10:59:25 GMT-0700 (Mountain Standard Time)</t>
      </text>
    </comment>
    <comment authorId="0" ref="AP63">
      <text>
        <t xml:space="preserve">an approach, called PIUIVT, to improve the
effectiveness of UIV (user input validation) testing. It
combines the automation of vulnerability scanners of web applications
and the flexibility of proxy-based UIV testing tools. 
--Mirshokraie November-12-11 4:23:03 PM</t>
      </text>
    </comment>
    <comment authorId="0" ref="BD63">
      <text>
        <t xml:space="preserve">vulnerability testing
 --vgarousi Sun Feb 26 2012 10:58:42 GMT-0700 (Mountain Standard Time)</t>
      </text>
    </comment>
    <comment authorId="0" ref="BG63">
      <text>
        <t xml:space="preserve">generating test inputs through perturbing regular expressions
automatically. In order to assess the test result as pass or fail the behavior of a web application is classified into three types: defensive, insensitive, and crashing-- (no Oracle has been used).  --Mirshokraie March-20-12 1:53:56 PM</t>
      </text>
    </comment>
    <comment authorId="0" ref="BQ63">
      <text>
        <t xml:space="preserve">user inpur validation 
--Mirshokraie November-12-11 4:43:34 PM</t>
      </text>
    </comment>
    <comment authorId="0" ref="CA63">
      <text>
        <t xml:space="preserve">perturbing regular expressions</t>
      </text>
    </comment>
    <comment authorId="0" ref="CB63">
      <text>
        <t xml:space="preserve">mapping the input type to a regular expression that defines valid inputs for this type, or constructing a regular expression to define the acceptable input domain of this input field. 
--Mirshokraie November-12-11 4:52:10 PM</t>
      </text>
    </comment>
    <comment authorId="0" ref="CF63">
      <text>
        <t xml:space="preserve">for identifying input type
--Mirshokraie November-12-11 4:51:42 PM</t>
      </text>
    </comment>
    <comment authorId="0" ref="DC63">
      <text>
        <t xml:space="preserve">(i) Assessing the effectiveness of the approach in terms of the ratios of detected vulnerabilities by comparing PIUIVT with web application scanners (Wikto and Paros). (ii) Analyzing generated test inputs
to explain why UIV vulnerabilities can be detected by these test
inputs. Note: vulnerabilities are seeded by the authors, detected vulnerabilities are
checked manually to see whether the test results are correct. (iii) Applying different similarity comparison approaches to HTML pages, comparing LCTS with four other approaches (Word Diff, Line Diff, Char Diff, Char Comp).
--Mirshokraie November-12-11 4:57:54 PM</t>
      </text>
    </comment>
    <comment authorId="0" ref="EF63">
      <text>
        <t xml:space="preserve">excluding Java code embedded in JSP files</t>
      </text>
    </comment>
    <comment authorId="0" ref="F64">
      <text>
        <t xml:space="preserve">I think AF=x, since a test model is also built (called Web graph)
I do not think AI should be x, just because this is a preliminary work.
For BF, the notes area should mention if the model has been extracted automatically, and the answer is yes. From the abstract: "The results show that the approach
automatically builds models containing a limited..."
DE: I moved the list of tools to the notes area  of DE instead, since we wanted to only include the tools "proposed" in each paper, and not the ones proposed earlier used in this paper.
 --vgarousi Sun Feb 26 2012 11:04:23 GMT-0700 (Mountain Standard Time)</t>
      </text>
    </comment>
    <comment authorId="0" ref="AP64">
      <text>
        <t xml:space="preserve">using code mutation to reverse engineer a Web application and build its model which is then used for testing. --Mirshokraie November-11-11 6:16:05 PM</t>
      </text>
    </comment>
    <comment authorId="0" ref="AR64">
      <text>
        <t xml:space="preserve">called web graph. --Mirshokraie March-20-12 2:16:33 PM</t>
      </text>
    </comment>
    <comment authorId="0" ref="BG64">
      <text>
        <t xml:space="preserve">traversing the web graph to extract paths according to coverage criteria. 
--Mirshokraie November-11-11 6:28:07 PM</t>
      </text>
    </comment>
    <comment authorId="0" ref="BH64">
      <text>
        <t xml:space="preserve">using the user reports, collected
during testing, for the refinement phase. 
--Mirshokraie November-11-11 6:28:40 PM</t>
      </text>
    </comment>
    <comment authorId="0" ref="BY64">
      <text>
        <t xml:space="preserve">The approach
automatically builds models containing a limited degree of inaccuracy that can be pruned during the application testing.
--Traversing the web graph to extract paths according to coverage criteria. --Mirshokraie November-11-11 6:50:32 PM</t>
      </text>
    </comment>
    <comment authorId="0" ref="BZ64">
      <text>
        <t xml:space="preserve">using the user reports manually, collected
during the testing phase, to refine the model. --Mirshokraie November-11-11 6:51:39 PM</t>
      </text>
    </comment>
    <comment authorId="0" ref="CL64">
      <text>
        <t xml:space="preserve">applying mutant operators to the code
component, performing
navigation sessions using random input values and user interactions. 
--Mirshokraie November-11-11 6:53:42 PM</t>
      </text>
    </comment>
    <comment authorId="0" ref="CO64">
      <text>
        <t xml:space="preserve">path representing a test case composed of a sequence of Web pages. --Mirshokraie November-11-11 6:57:41 PM</t>
      </text>
    </comment>
    <comment authorId="0" ref="CP64">
      <text>
        <t xml:space="preserve">Authors mentioned that they complete test cases with a set of oracles and input data. To generate them, they use random values which are extracted from log files. They also ask the user help to complete test cases. 
--Mirshokraie November-11-11 6:59:47 PM</t>
      </text>
    </comment>
    <comment authorId="0" ref="CY64">
      <text>
        <t xml:space="preserve">(i) the number of static and dynamically built Web pages compared with the gold standard, (ii) the number of feasible
paths of a test suite. 
--Mirshokraie November-11-11 7:09:11 PM</t>
      </text>
    </comment>
    <comment authorId="0" ref="CZ64">
      <text>
        <t xml:space="preserve">two well known user-choose and random techniques in model-based testing are selected to be compared with. Two types of mutation are also considered, basic and PHP-specific. 
 --Mirshokraie November-11-11 7:45:05 PM</t>
      </text>
    </comment>
    <comment authorId="0" ref="EB64">
      <text>
        <t xml:space="preserve">authors use both WebUml and TestUml which are implemented previously by the themselves
 --vgarousi Sun Feb 26 2012 11:10:06 GMT-0700 (Mountain Standard Time)</t>
      </text>
    </comment>
    <comment authorId="0" ref="EF64">
      <text>
        <t xml:space="preserve">220+ 170+ 1332+ 202+ 492+ 1138+ 1387+ 714+ 7500</t>
      </text>
    </comment>
    <comment authorId="0" ref="F65">
      <text>
        <t xml:space="preserve">CI: You mentioned fault seeding, thus CG=x, CI=''
 --vgarousi Sun Feb 26 2012 11:24:33 GMT-0700 (Mountain Standard Time)</t>
      </text>
    </comment>
    <comment authorId="0" ref="AU65">
      <text>
        <t xml:space="preserve">The authors demonstrate the applicability of the
UniTESK test development technology for testing the client
side functionality of AJAX web applications. UniTESK is a pre-existing industrial model based test development technology.
--Mirshokraie November-07-11 12:37:23 AM</t>
      </text>
    </comment>
    <comment authorId="0" ref="BG65">
      <text>
        <t xml:space="preserve">Specifications are used to determine
the test coverage criteria. Then, test scenarios are developed so that the
chosen test coverage criteria could be achieved during
testing. --Mirshokraie November-07-11 12:40:59 AM</t>
      </text>
    </comment>
    <comment authorId="0" ref="BV65">
      <text>
        <t xml:space="preserve">Requirements to the application behavior are fixed in specifications in the form of pre-conditions and post-conditions
of stimuli and reactions, and invariants of data
types.
 --Mirshokraie November-07-11 12:44:40 AM</t>
      </text>
    </comment>
    <comment authorId="0" ref="CB65">
      <text>
        <t xml:space="preserve">The technique formalizes the requirements using
UniTESK. The tester must represent possible interactions of the client side functionality with its environment as a set of stimuli and reactions. A formal interface of the application under test consisting
of stimuli and reactions is fixed in specifications.
[Requirements to the application behavior are fixed in specifications in the form of pre-conditions and post-conditions
of stimuli and reactions, and invariants of data
types.] --Mirshokraie November-07-11 2:05:43 AM</t>
      </text>
    </comment>
    <comment authorId="0" ref="CO65">
      <text>
        <t xml:space="preserve">Specifications are used to determine
the test coverage criteria.
Next, test scenarios are developed so that the chosen test coverage criteria could be achieved during testing. --Mirshokraie November-07-11 12:54:34 AM</t>
      </text>
    </comment>
    <comment authorId="0" ref="CZ65">
      <text>
        <t xml:space="preserve">collecting Ajax patterns and implementing applications accordingly (by the authors), fault seeding, measure the percentage of faults detected by the technique.  --Mirshokraie March-20-12 2:13:03 PM</t>
      </text>
    </comment>
    <comment authorId="0" ref="DO65">
      <text>
        <t xml:space="preserve">JavaTESK toolkit is used to implement the UniTESK test suite
architecture components and run the test suites developed. The proxy server is implemented using Java. --Mirshokraie November-07-11 2:18:54 AM</t>
      </text>
    </comment>
    <comment authorId="0" ref="ED65">
      <text>
        <t xml:space="preserve">Ajax application for: Explicit Submission,
Periodic Refresh, Submission Throttling,
Predictive Fetch,
Browser-side cache,
Guesstimate, Pseudo-threading, Multi-stage download. --Mirshokraie November-07-11 2:22:44 AM</t>
      </text>
    </comment>
    <comment authorId="0" ref="F66">
      <text>
        <t xml:space="preserve">-Is it fully manual? Are test case generation and execution both fully manual? (I thought we can mark CD and CE together)
V: now, both CD and CE=x
- I think the evaluation may not be as comprehensive as it should be for choosing AL.
V: agree. down graded to AK
 --Mirshokraie March-12-12 1:05:43 AM</t>
      </text>
    </comment>
    <comment authorId="0" ref="AP66">
      <text>
        <t xml:space="preserve">an approach for automated recovery of input validation model from program source code
 --vgarousi Thu Sep 29 2011 16:24:43 GMT-0600 (Mountain Daylight Time)</t>
      </text>
    </comment>
    <comment authorId="0" ref="AR66">
      <text>
        <t xml:space="preserve">CFG and validation ﬂow graph (VFG)
 --vgarousi Thu Sep 29 2011 16:26:14 GMT-0600 (Mountain Daylight Time)</t>
      </text>
    </comment>
    <comment authorId="0" ref="AS66">
      <text>
        <t xml:space="preserve">two coverage criteria for testing input validation
 --vgarousi Thu Sep 29 2011 16:25:03 GMT-0600 (Mountain Daylight Time)</t>
      </text>
    </comment>
    <comment authorId="0" ref="BN66">
      <text>
        <t xml:space="preserve">jsp
 --vgarousi Thu Sep 29 2011 16:32:14 GMT-0600 (Mountain Daylight Time)</t>
      </text>
    </comment>
    <comment authorId="0" ref="CD66">
      <text>
        <t xml:space="preserve">they extract a CFG
 --vgarousi Thu Sep 29 2011 16:32:33 GMT-0600 (Mountain Daylight Time)</t>
      </text>
    </comment>
    <comment authorId="0" ref="CO66">
      <text>
        <t xml:space="preserve">CFP
 --vgarousi Thu Sep 29 2011 16:32:56 GMT-0600 (Mountain Daylight Time)</t>
      </text>
    </comment>
    <comment authorId="0" ref="CZ66">
      <text>
        <t xml:space="preserve">"we seeded 30 input validation errors"
 --vgarousi Thu Sep 29 2011 16:33:57 GMT-0600 (Mountain Daylight Time)</t>
      </text>
    </comment>
    <comment authorId="0" ref="EF66">
      <text>
        <t xml:space="preserve">16 SUTs, see Table 1 of the paper
 --vgarousi Thu Sep 29 2011 16:27:37 GMT-0600 (Mountain Daylight Time)</t>
      </text>
    </comment>
    <comment authorId="0" ref="F67">
      <text>
        <t xml:space="preserve">AE: I put the test tool name in notes
AH: In Figure 1, they talk about Incremental/iterative process model for the development of Web applications, so I think "process" should also be checked
AQ=x?
 --vgarousi Sun Feb 26 2012 11:26:24 GMT-0700 (Mountain Standard Time)</t>
      </text>
    </comment>
    <comment authorId="0" ref="N67">
      <text>
        <t xml:space="preserve">to discuss
 --vgarousi Wed Aug 03 2011 17:17:56 GMT-0600 (Mountain Daylight Time)</t>
      </text>
    </comment>
    <comment authorId="0" ref="W67">
      <text>
        <t xml:space="preserve">This one is a journal version and 2002. The #3- is a conf paper and 2001. So I suggest to include this one and exclude that one.
 --vgarousi Wed Aug 03 2011 17:17:26 GMT-0600 (Mountain Daylight Time)</t>
      </text>
    </comment>
    <comment authorId="0" ref="AQ67">
      <text>
        <t xml:space="preserve">TestWeb
 --vgarousi Sun Feb 26 2012 11:26:17 GMT-0700 (Mountain Standard Time)</t>
      </text>
    </comment>
    <comment authorId="0" ref="F68">
      <text>
        <t xml:space="preserve">- Can we also add AG? (proposed hyperlink and input GUI coverage)
- Can't we choose both AR and AS in addition to AQ?
 --Mirshokraie March-13-12 12:06:14 AM</t>
      </text>
    </comment>
    <comment authorId="0" ref="G68">
      <text>
        <t xml:space="preserve">metric: I fail to see a metric("proposed hyperlink and input GUI coverage") can you explain more or point out a section?
why static analysis? 
 --aysubetincan Mon Mar 26 2012 15:33:07 GMT+0300 (GTB Daylight Time)</t>
      </text>
    </comment>
    <comment authorId="0" ref="W68">
      <text>
        <t xml:space="preserve">more on white box testing
 --vgarousi Wed Aug 03 2011 17:19:33 GMT-0600 (Mountain Daylight Time)</t>
      </text>
    </comment>
    <comment authorId="0" ref="CD68">
      <text>
        <t xml:space="preserve">dependence graph
 --vgarousi Mon Jan 23 2012 10:43:07 GMT-0700 (Mountain Standard Time)</t>
      </text>
    </comment>
    <comment authorId="0" ref="CE68">
      <text>
        <t xml:space="preserve">dataflow
 --vgarousi Mon Jan 23 2012 10:42:59 GMT-0700 (Mountain Standard Time)</t>
      </text>
    </comment>
    <comment authorId="0" ref="CL68">
      <text>
        <t xml:space="preserve">mutation, dataflow, dependence graph
 --vgarousi Mon Jan 23 2012 10:42:40 GMT-0700 (Mountain Standard Time)</t>
      </text>
    </comment>
    <comment authorId="0" ref="EF68">
      <text>
        <t xml:space="preserve">32+101+27+80</t>
      </text>
    </comment>
    <comment authorId="0" ref="F69">
      <text>
        <t xml:space="preserve">- Could you please comment why AS=x for the "focus of the paper", while BP=x for the "technique used"?
- Couldn't we choose BH as well? (decision tables used for selecting test cases)
--Mirshokraie March-13-12 12:26:54 AM</t>
      </text>
    </comment>
    <comment authorId="0" ref="G69">
      <text>
        <t xml:space="preserve">it is dynamic analysis. instrumentation enables catching information at runtime.
you're right not static  analysis as test technique? do you think it is model based or requirement base?
 --aysubetincan Mon Mar 26 2012 15:24:22 GMT+0300 (GTB Daylight Time)</t>
      </text>
    </comment>
    <comment authorId="0" ref="F70">
      <text>
        <t xml:space="preserve">I'm agree with selected items.
 --Mirshokraie March-13-12 12:36:28 AM</t>
      </text>
    </comment>
    <comment authorId="0" ref="F71">
      <text>
        <t xml:space="preserve">1)check AE:testuml is the tool . also webuml (presented elsewhere)
fixed
2)check column AV,AW: "it executes them and generates test results and coverage level reports."
fixed
3)check BK and BG instead of BF:testuml gets a model as input, webuml generates it. reverse enginerring is inferring the model (BK)
fixed
4) check BW
fixed
5)check CB: it is creating test scripts
fixed
6) check both cd and ce: semiautomated
fixed
7) technique used :model based, random walks
8) SUT: same as webuml paper, need to find that paper
it is a toy example
--aysubetincan Fri Feb 24 2012 02:01:55 GMT+0200 (Turkey Standard Time)</t>
      </text>
    </comment>
    <comment authorId="0" ref="AP71">
      <text>
        <t xml:space="preserve">statistical testing and coverage analysis baseed on reverse engineered UML models
 --vgarousi Thu Sep 29 2011 16:35:14 GMT-0600 (Mountain Daylight Time)</t>
      </text>
    </comment>
    <comment authorId="0" ref="AQ71">
      <text>
        <t xml:space="preserve">testuml
 --vgarousi Sun Feb 26 2012 19:20:23 GMT-0700 (Mountain Standard Time)</t>
      </text>
    </comment>
    <comment authorId="0" ref="AR71">
      <text>
        <t xml:space="preserve">reverse engineered UML models
 --vgarousi Thu Sep 29 2011 16:35:22 GMT-0600 (Mountain Daylight Time)</t>
      </text>
    </comment>
    <comment authorId="0" ref="BI71">
      <text>
        <t xml:space="preserve">"it executes them and generates test results and coverage level reports."
 --vgarousi Sun Feb 26 2012 19:21:12 GMT-0700 (Mountain Standard Time)</t>
      </text>
    </comment>
    <comment authorId="0" ref="BJ71">
      <text>
        <t xml:space="preserve">"it executes them and generates test results and coverage level reports."
</t>
      </text>
    </comment>
    <comment authorId="0" ref="BY71">
      <text>
        <t xml:space="preserve">UML models reverse engineered from code
</t>
      </text>
    </comment>
    <comment authorId="0" ref="EE71">
      <text>
        <t xml:space="preserve">a simple example
 --vgarousi Sun Feb 26 2012 19:28:10 GMT-0700 (Mountain Standard Time)</t>
      </text>
    </comment>
    <comment authorId="0" ref="F72">
      <text>
        <t xml:space="preserve">1)AW: execution is in fitnesse,so it does not count
fixed
2)CD and CE: semimanual
fixed
3) SUT: widgets.com. 
fixed
4) CR not CS
fixed
--aysubetincan Fri Feb 24 2012 02:29:30 GMT+0200 (Turkey Standard Time)</t>
      </text>
    </comment>
    <comment authorId="0" ref="AQ72">
      <text>
        <t xml:space="preserve">UCM2FIT
 --vgarousi Thu Sep 29 2011 17:10:44 GMT-0600 (Mountain Daylight Time)</t>
      </text>
    </comment>
    <comment authorId="0" ref="AR72">
      <text>
        <t xml:space="preserve">testing based on Use Case Maps (UCMs)
 --vgarousi Thu Sep 29 2011 16:59:46 GMT-0600 (Mountain Daylight Time)</t>
      </text>
    </comment>
    <comment authorId="0" ref="BG72">
      <text>
        <t xml:space="preserve">paths in Use Case Maps (UCMs)
 --vgarousi Thu Sep 29 2011 17:03:37 GMT-0600 (Mountain Daylight Time)</t>
      </text>
    </comment>
    <comment authorId="0" ref="BI72">
      <text>
        <t xml:space="preserve">using the FitNesse tool
 --vgarousi Thu Sep 29 2011 17:04:36 GMT-0600 (Mountain Daylight Time)</t>
      </text>
    </comment>
    <comment authorId="0" ref="BV72">
      <text>
        <t xml:space="preserve">UCM
 --vgarousi Thu Sep 29 2011 17:05:25 GMT-0600 (Mountain Daylight Time)</t>
      </text>
    </comment>
    <comment authorId="0" ref="CQ72">
      <text>
        <t xml:space="preserve">FitNesse test code
 --vgarousi Thu Sep 29 2011 17:10:06 GMT-0600 (Mountain Daylight Time)</t>
      </text>
    </comment>
    <comment authorId="0" ref="F73">
      <text>
        <t xml:space="preserve">Research Facet: I think a replication study would be under AK
 --vgarousi Sun Feb 26 2012 11:31:10 GMT-0700 (Mountain Standard Time)</t>
      </text>
    </comment>
    <comment authorId="0" ref="AU73">
      <text>
        <t xml:space="preserve">This paper replicated Kallepalli and Tian’s work, showing that,
in contrast to their results, multiple set UMMs (Unified Markov Models) were needed for trustworthy test case generation. 
--Mirshokraie November-11-11 12:03:29 PM</t>
      </text>
    </comment>
    <comment authorId="0" ref="AW73">
      <text>
        <t xml:space="preserve">showing that multiple set UMMs are needed for trustworthy test case generation. --Mirshokraie November-11-11 12:14:47 PM</t>
      </text>
    </comment>
    <comment authorId="0" ref="BG73">
      <text>
        <t xml:space="preserve">using multiple set UMMs for trustworthy
test case generation. --Mirshokraie November-11-11 12:15:17 PM</t>
      </text>
    </comment>
    <comment authorId="0" ref="BV73">
      <text>
        <t xml:space="preserve">Unified Markov Models (UMM)
--Mirshokraie November-11-11 1:08:36 PM</t>
      </text>
    </comment>
    <comment authorId="0" ref="BX73">
      <text>
        <t xml:space="preserve">analyzing server access and error logs to derive navigation patterns. --Mirshokraie November-11-11 1:09:56 PM</t>
      </text>
    </comment>
    <comment authorId="0" ref="CL73">
      <text>
        <t xml:space="preserve">analyzing server access and error logs-- using a probability threshold for selecting the navigation patterns in order to achieve a certain testing coverage level. 
--Mirshokraie November-11-11 12:35:24 PM</t>
      </text>
    </comment>
    <comment authorId="0" ref="CO73">
      <text>
        <t xml:space="preserve">usage scenarios that are represented by UMMs acts as test cases. The navigation patterns that exceed the probability threshold become
the actual test cases.
Testing normally starts
with a high threshold to cover the most frequently visited Web
pages. --Mirshokraie November-11-11 1:05:18 PM</t>
      </text>
    </comment>
    <comment authorId="0" ref="DE73">
      <text>
        <t xml:space="preserve">verifying whether the
UMMs created for the application represented
actual usage patterns. Authors also investigate whether multiple set UMMs are
necessary to model a Web application. They also assess the reliability of the application.</t>
      </text>
    </comment>
    <comment authorId="0" ref="DM73">
      <text>
        <t xml:space="preserve">this paper just replicates the results of the pre-existing approach. Therefore, the server/client side technology is derived from the paper which proposed the approach. --Mirshokraie November-11-11 2:46:51 PM</t>
      </text>
    </comment>
    <comment authorId="0" ref="F74">
      <text>
        <t xml:space="preserve">1)check BK: model extraction reajax 
fixed
--aysubetincan Fri Feb 24 2012 02:50:23 GMT+0200 (Turkey Standard Time)</t>
      </text>
    </comment>
    <comment authorId="0" ref="AQ74">
      <text>
        <t xml:space="preserve">reAJAX: to extract the FSM of an Ajax application
 --vgarousi Thu Sep 29 2011 17:35:25 GMT-0600 (Mountain Daylight Time)</t>
      </text>
    </comment>
    <comment authorId="0" ref="AR74">
      <text>
        <t xml:space="preserve">testing based on FSM
 --vgarousi Thu Sep 29 2011 17:24:56 GMT-0600 (Mountain Daylight Time)</t>
      </text>
    </comment>
    <comment authorId="0" ref="AS74">
      <text>
        <t xml:space="preserve">FSM-based test coverage
 --vgarousi Thu Sep 29 2011 17:25:21 GMT-0600 (Mountain Daylight Time)</t>
      </text>
    </comment>
    <comment authorId="0" ref="BF74">
      <text>
        <t xml:space="preserve">to generate FSM and  execution traces 
 --vgarousi Thu Sep 29 2011 17:30:24 GMT-0600 (Mountain Daylight Time)</t>
      </text>
    </comment>
    <comment authorId="0" ref="EB74">
      <text>
        <t xml:space="preserve">http://selab.fbk.eu/marchetto/tools/ajax/testing1/experimentData.zip
 --vgarousi Thu Sep 29 2011 17:42:14 GMT-0600 (Mountain Daylight Time)</t>
      </text>
    </comment>
    <comment authorId="0" ref="EF74">
      <text>
        <t xml:space="preserve">Two SUTs:
Tudu: 12 KLOC
Oryx: 200 KLOC: Javascript (63 KLOC) and Java (137 KLOC)</t>
      </text>
    </comment>
    <comment authorId="0" ref="F75">
      <text>
        <t xml:space="preserve">- Can we choose AF and AI as well? 
AF -&gt; model including control flow enabled by user operations 
AI -&gt; constraint-based approach for controlling the size of the model.
- Can we mark BP as well? (verifier operates statically on the program's source code)
 --Mirshokraie Tue 13 Mar 2012 11:24:28 AM PDT</t>
      </text>
    </comment>
    <comment authorId="0" ref="AP75">
      <text>
        <t xml:space="preserve">constraint-based approach for controlling the size of the model</t>
      </text>
    </comment>
    <comment authorId="0" ref="BU75">
      <text>
        <t xml:space="preserve">properties are requirements. model is from source code --aysubetincan Sun Nov 13 2011 12:32:57 GMT+0200 (Turkey Standard Time)</t>
      </text>
    </comment>
    <comment authorId="0" ref="F76">
      <text>
        <t xml:space="preserve">Shouldn't (Functional) Testing AQ be x as well?
They also seem to analyze JavaScript, so CP=x?
Web-server-tier Web Technology, DB=x?
In the SUT info, we can perhaps put the examples they have in the paper: Yahoo Auto Classiﬁeds in Section 2.1, the Travelocity site, ...
DM=x?
 --vgarousi Sun Feb 26 2012 11:37:19 GMT-0700 (Mountain Standard Time)</t>
      </text>
    </comment>
    <comment authorId="0" ref="U76">
      <text>
        <t xml:space="preserve">Evaluation is weak. They say: "A detailed description of how VeriWeb performs form analysis, matching and completion, as well as of profile policies and the pro?le-re?nement iterative process, is omitted in this paper."
 --vgarousi Tue Aug 02 2011 16:43:49 GMT-0600 (Mountain Daylight Time)</t>
      </text>
    </comment>
    <comment authorId="0" ref="AQ76">
      <text>
        <t xml:space="preserve">VeriWeb
 --vgarousi Sun Feb 26 2012 11:35:20 GMT-0700 (Mountain Standard Time)</t>
      </text>
    </comment>
    <comment authorId="0" ref="BY76">
      <text>
        <t xml:space="preserve">Navigational model inferred through crawling </t>
      </text>
    </comment>
    <comment authorId="0" ref="F77">
      <text>
        <t xml:space="preserve">I'm agree with selected items. --Mirshokraie Tue 13 Mar 2012 11:31:22 AM PDT</t>
      </text>
    </comment>
    <comment authorId="0" ref="Q77">
      <text>
        <t xml:space="preserve">seems to be an extension of the above paper
 --vgarousi Tue Aug 02 2011 16:45:27 GMT-0600 (Mountain Daylight Time)</t>
      </text>
    </comment>
    <comment authorId="0" ref="DO77">
      <text>
        <t xml:space="preserve">p3: "In this paper, we will consider PHP for the server and Javascript for the
client."</t>
      </text>
    </comment>
    <comment authorId="0" ref="EF77">
      <text>
        <t xml:space="preserve">108+535+702+911+2475+11489+14431+34094+48315+69698+73180</t>
      </text>
    </comment>
    <comment authorId="0" ref="F78">
      <text>
        <t xml:space="preserve">- Can we mark AT as well?
V: right
- Perhaps we can choose BJ as well?
V: yes. added
 --Mirshokraie Tue 13 Mar 2012 12:04:11 PM PDT</t>
      </text>
    </comment>
    <comment authorId="0" ref="AU78">
      <text>
        <t xml:space="preserve">Experimental Comparison Study
</t>
      </text>
    </comment>
    <comment authorId="0" ref="BL78">
      <text>
        <t xml:space="preserve">test suite reduction and 5 types of customized test requirements 
 --vgarousi Fri Sep 30 2011 09:17:47 GMT-0600 (Mountain Daylight Time)</t>
      </text>
    </comment>
    <comment authorId="0" ref="BX78">
      <text>
        <t xml:space="preserve">user-session-based testing</t>
      </text>
    </comment>
    <comment authorId="0" ref="EF78">
      <text>
        <t xml:space="preserve">999+7791+8947+61729
Same as paper "WebVizOr..."
Four SUTs:
Masplas: 999
Book: 7791
CPM: 8947
DSpace: 61729
 --vgarousi Thu Sep 29 2011 17:45:49 GMT-0600 (Mountain Daylight Time)</t>
      </text>
    </comment>
    <comment authorId="0" ref="F79">
      <text>
        <t xml:space="preserve">agree with selected items. --Mirshokraie March-13-12 9:46:12 PM</t>
      </text>
    </comment>
    <comment authorId="0" ref="Q79">
      <text>
        <t xml:space="preserve">Interesting book chapter. 
It adds the the reliability flavor to web testing.
 --vgarousi Tue Aug 02 2011 16:50:30 GMT-0600 (Mountain Daylight Time)</t>
      </text>
    </comment>
    <comment authorId="0" ref="AR79">
      <text>
        <t xml:space="preserve">statistical testing models: actual usage scenarios and related frequencies
 --vgarousi Sun Sep 25 2011 20:01:28 GMT-0600 (Mountain Daylight Time)</t>
      </text>
    </comment>
    <comment authorId="0" ref="BL79">
      <text>
        <t xml:space="preserve">reliability and statistical testing
 --vgarousi Sun Sep 25 2011 20:06:17 GMT-0600 (Mountain Daylight Time)</t>
      </text>
    </comment>
    <comment authorId="0" ref="BV79">
      <text>
        <t xml:space="preserve">Test cases generated by following state transitions in Unified Markov Models
 --vgarousi Sun Sep 25 2011 20:03:14 GMT-0600 (Mountain Daylight Time)</t>
      </text>
    </comment>
    <comment authorId="0" ref="BX79">
      <text>
        <t xml:space="preserve">Unified Markov Models are generated from logs</t>
      </text>
    </comment>
    <comment authorId="0" ref="CK79">
      <text>
        <t xml:space="preserve">from state-charts  built manually 
--vgarousi Sun Sep 25 2011 20:06:55 GMT-0600 (Mountain Daylight Time)</t>
      </text>
    </comment>
    <comment authorId="0" ref="CO79">
      <text>
        <t xml:space="preserve">paths (sequence of web pages)
 --vgarousi Sun Sep 25 2011 20:07:24 GMT-0600 (Mountain Daylight Time)</t>
      </text>
    </comment>
    <comment authorId="0" ref="DE79">
      <text>
        <t xml:space="preserve">reliability analysis of an actual website: www.seas.smu.edu
 --vgarousi Sun Sep 25 2011 20:07:49 GMT-0600 (Mountain Daylight Time)</t>
      </text>
    </comment>
    <comment authorId="0" ref="DF79">
      <text>
        <t xml:space="preserve">see the error types in Table 2
 --vgarousi Sun Sep 25 2011 20:08:27 GMT-0600 (Mountain Daylight Time)</t>
      </text>
    </comment>
    <comment authorId="0" ref="F80">
      <text>
        <t xml:space="preserve">-Isn't it a kind of testing tool (AE) as well?
V: right. modified
 --Mirshokraie Tue 13 Mar 2012 02:05:52 PM PDT</t>
      </text>
    </comment>
    <comment authorId="0" ref="W80">
      <text>
        <t xml:space="preserve">but isn't the tool also supporting test oracles?
 --vgarousi Wed Aug 03 2011 16:48:29 GMT-0600 (Mountain Daylight Time)</t>
      </text>
    </comment>
    <comment authorId="0" ref="AQ80">
      <text>
        <t xml:space="preserve">a tool for Visualization of Automated test Oracles and test results</t>
      </text>
    </comment>
    <comment authorId="0" ref="BK80">
      <text>
        <t xml:space="preserve">a tool for Visualization of Automated test Oracles and test results
 --vgarousi Sat Oct 01 2011 08:50:44 GMT-0600 (Mountain Daylight Time)</t>
      </text>
    </comment>
    <comment authorId="0" ref="BT80">
      <text>
        <t xml:space="preserve">HTML source code
 --vgarousi Sat Oct 01 2011 08:52:17 GMT-0600 (Mountain Daylight Time)</t>
      </text>
    </comment>
    <comment authorId="0" ref="CD80">
      <text>
        <t xml:space="preserve">based on earlier work "Document comparator":
Automated oracle comparators for testing web applications
--vgarousi Sat Oct 01 2011 08:52:50 GMT-0600 (Mountain Daylight Time)</t>
      </text>
    </comment>
    <comment authorId="0" ref="EC80">
      <text>
        <t xml:space="preserve">http://www.eecis.udel.edu/~hiper/webvizor
 --vgarousi Sat Oct 01 2011 08:55:46 GMT-0600 (Mountain Daylight Time)</t>
      </text>
    </comment>
    <comment authorId="0" ref="EF80">
      <text>
        <t xml:space="preserve">999+7791+8947+61729
Same as paper "Web Application Testing with Customized ..."
Four SUTs:
Masplas: 999
Book: 7791
CPM: 8947
DSpace: 61729
 --vgarousi Sat Oct 01 2011 08:56:14 GMT-0600 (Mountain Daylight Time)</t>
      </text>
    </comment>
    <comment authorId="0" ref="F81">
      <text>
        <t xml:space="preserve">- Is it a test method? 
V: right. AD is now removed
--Mirshokraie Tue 13 Mar 2012 01:04:15 PM PDT</t>
      </text>
    </comment>
    <comment authorId="0" ref="U81">
      <text>
        <t xml:space="preserve">I have border line feeling for its evaluation
 --vgarousi Wed Aug 03 2011 17:22:52 GMT-0600 (Mountain Daylight Time)</t>
      </text>
    </comment>
    <comment authorId="0" ref="AQ81">
      <text>
        <t xml:space="preserve">a framework called WIT
 --vgarousi Sat Oct 01 2011 08:57:44 GMT-0600 (Mountain Daylight Time)</t>
      </text>
    </comment>
    <comment authorId="0" ref="CA81">
      <text>
        <t xml:space="preserve">Just a tool for automation of web testing. Assumes test cases have been derived already
 --vgarousi Sat Oct 01 2011 09:01:45 GMT-0600 (Mountain Daylight Time)</t>
      </text>
    </comment>
    <comment authorId="0" ref="CL81">
      <text>
        <t xml:space="preserve">Just a tool for automation of web testing. Assumes test cases have been derived already
 --vgarousi Sat Oct 01 2011 09:01:45 GMT-0600 (Mountain Daylight Time)</t>
      </text>
    </comment>
    <comment authorId="0" ref="DA81">
      <text>
        <t xml:space="preserve">just a usage scenario
 --vgarousi Sat Oct 01 2011 09:02:50 GMT-0600 (Mountain Daylight Time)</t>
      </text>
    </comment>
    <comment authorId="0" ref="EA81">
      <text>
        <t xml:space="preserve">portlet
 --vgarousi Sat Oct 01 2011 09:05:40 GMT-0600 (Mountain Daylight Time)</t>
      </text>
    </comment>
    <comment authorId="0" ref="EC81">
      <text>
        <t xml:space="preserve">http://sourceforge.net/projects/wit-ict/files/wit-ict/
 --vgarousi Sat Oct 01 2011 09:08:12 GMT-0600 (Mountain Daylight Time)</t>
      </text>
    </comment>
  </commentList>
</comments>
</file>

<file path=xl/comments4.xml><?xml version="1.0" encoding="utf-8"?>
<comments xmlns:r="http://schemas.openxmlformats.org/officeDocument/2006/relationships" xmlns="http://schemas.openxmlformats.org/spreadsheetml/2006/main">
  <authors>
    <author/>
  </authors>
  <commentList>
    <comment authorId="0" ref="C2">
      <text>
        <t xml:space="preserve">please mark the papers you like to review with your name in cells
We will then assign the ones not taken
 --vgarousi Thu Aug 04 2011 15:17:19 GMT-0600 (Mountain Daylight Time)</t>
      </text>
    </comment>
    <comment authorId="0" ref="F2">
      <text>
        <t xml:space="preserve">Please put your peer review comments on the cells below, in the NOTES area
 --vgarousi Mon Jan 30 2012 12:16:12 GMT-0700 (Mountain Standard Time)</t>
      </text>
    </comment>
    <comment authorId="0" ref="G2">
      <text>
        <t xml:space="preserve">x would mean review is done
x/? clarifications needed
x/x would mean both review and revisions  based on reviews are done
 --vgarousi Sun Feb 26 2012 11:54:49 GMT-0700 (Mountain Standard Time)</t>
      </text>
    </comment>
    <comment authorId="0" ref="O2">
      <text>
        <t xml:space="preserve">Is the paper relevant to functional Web app testing and analysis (for purpose of verification)?
 --vgarousi Mon Aug 01 2011 16:33:58 GMT-0600 (Mountain Daylight Time)</t>
      </text>
    </comment>
    <comment authorId="0" ref="S2">
      <text>
        <t xml:space="preserve">Is there any evaluation in the paper and whether it is sound? For survey papers, we will not apply this. For technical and experimental ones, we will apply
Check: If there is a newer journal paper of a conference paper, and if the technique has not changed, then just use the journal version.
 --vgarousi Mon Aug 01 2011 16:34:08 GMT-0600 (Mountain Daylight Time)</t>
      </text>
    </comment>
  </commentList>
</comments>
</file>

<file path=xl/comments5.xml><?xml version="1.0" encoding="utf-8"?>
<comments xmlns:r="http://schemas.openxmlformats.org/officeDocument/2006/relationships" xmlns="http://schemas.openxmlformats.org/spreadsheetml/2006/main">
  <authors>
    <author/>
  </authors>
  <commentList>
    <comment authorId="0" ref="AP1">
      <text>
        <t xml:space="preserve">From paper: "Systematic Mapping Studies in Software Engineering"
</t>
      </text>
    </comment>
    <comment authorId="0" ref="AW1">
      <text>
        <t xml:space="preserve">From paper: "Systematic Mapping Studies in Software Engineering"
it seems to me that the types 1, 2, and 3 are related, but in increasing order of "maturity"
</t>
      </text>
    </comment>
    <comment authorId="0" ref="BG1">
      <text>
        <t xml:space="preserve">Based on classification/terminology by Offutt in his book:
http://cs.gmu.edu/~offutt/softwaretest/
 --vgarousi Tue Aug 02 2011 09:45:08 GMT-0600 (Mountain Daylight Time)</t>
      </text>
    </comment>
    <comment authorId="0" ref="CN1">
      <text>
        <t xml:space="preserve">put 1 whenever applicable
MORE THAN ONE can be selected
 --vgarousi Mon Aug 01 2011 14:13:24 GMT-0600 (Mountain Daylight Time)</t>
      </text>
    </comment>
    <comment authorId="0" ref="C2">
      <text>
        <t xml:space="preserve">please mark the papers you like to review with your name in cells
We will then assign the ones not taken
 --vgarousi Thu Aug 04 2011 15:17:19 GMT-0600 (Mountain Daylight Time)</t>
      </text>
    </comment>
    <comment authorId="0" ref="F2">
      <text>
        <t xml:space="preserve">Please put your peer review comments on the cells below, in the NOTES area
 --vgarousi Mon Jan 30 2012 12:16:12 GMT-0700 (Mountain Standard Time)</t>
      </text>
    </comment>
    <comment authorId="0" ref="G2">
      <text>
        <t xml:space="preserve">x would mean review is done
x/? clarifications needed
x/x would mean both review and revisions  based on reviews are done
 --vgarousi Sun Feb 26 2012 11:54:49 GMT-0700 (Mountain Standard Time)</t>
      </text>
    </comment>
    <comment authorId="0" ref="O2">
      <text>
        <t xml:space="preserve">Is the paper relevant to functional Web app testing and analysis (for purpose of verification)?
 --vgarousi Mon Aug 01 2011 16:33:58 GMT-0600 (Mountain Daylight Time)</t>
      </text>
    </comment>
    <comment authorId="0" ref="S2">
      <text>
        <t xml:space="preserve">Is there any evaluation in the paper and whether it is sound? For survey papers, we will not apply this. For technical and experimental ones, we will apply
Check: If there is a newer journal paper of a conference paper, and if the technique has not changed, then just use the journal version.
 --vgarousi Mon Aug 01 2011 16:34:08 GMT-0600 (Mountain Daylight Time)</t>
      </text>
    </comment>
    <comment authorId="0" ref="AG2">
      <text>
        <t xml:space="preserve">C: conferece
J: Journal
W: Workshop
M: Magazine
S: Symposium 
--vgarousi Wed Jul 27 2011 17:01:16 GMT-0600 (Mountain Daylight Time)</t>
      </text>
    </comment>
    <comment authorId="0" ref="AH2">
      <text>
        <t xml:space="preserve">Taken from Google Scholar</t>
      </text>
    </comment>
    <comment authorId="0" ref="AW2">
      <text>
        <t xml:space="preserve">From paper: "Systematic Mapping Studies in Software Engineering"
A solution for a problem is proposed, the solution can be either novel or a signiﬁcant
extension of an existing technique. The potential beneﬁts and the applicability of the
solution is shown by a small example or a good line of argumentation.</t>
      </text>
    </comment>
    <comment authorId="0" ref="AX2">
      <text>
        <t xml:space="preserve">From paper: "Systematic Mapping Studies in Software Engineering"
Techniques investigated are novel and have not yet been implemented in practice.
Techniques used are for example experiments, i.e., work done in the lab.</t>
      </text>
    </comment>
    <comment authorId="0" ref="AY2">
      <text>
        <t xml:space="preserve">From paper: "Systematic Mapping Studies in Software Engineering"
Techniques are implemented in practice and an evaluation of the technique is conducted.
That means, it is shown how the technique is implemented in practice (solution
implementation) and what are the consequences of the implementation in terms of
beneﬁts and drawbacks (implementation evaluation). This also includes to identify
problems in industry.</t>
      </text>
    </comment>
    <comment authorId="0" ref="BG2">
      <text>
        <t xml:space="preserve">From Jeff Offutt: "Design test input values to satisfy coverage criteria or other engineering goal"
 --vgarousi Tue Aug 02 2011 09:46:07 GMT-0600 (Mountain Daylight Time)</t>
      </text>
    </comment>
    <comment authorId="0" ref="BH2">
      <text>
        <t xml:space="preserve">From Jeff Offutt: "Design input test values based on domain knowledge of the program and human knowledge of testing
 --vgarousi Tue Aug 02 2011 09:46:17 GMT-0600 (Mountain Daylight Time)</t>
      </text>
    </comment>
    <comment authorId="0" ref="BI2">
      <text>
        <t xml:space="preserve">From Jeff Offutt: "Test Automation, 	Embed test values into executable test code (scripts)
 --vgarousi Tue Aug 02 2011 09:46:25 GMT-0600 (Mountain Daylight Time)</t>
      </text>
    </comment>
    <comment authorId="0" ref="BJ2">
      <text>
        <t xml:space="preserve">From Jeff Offutt: "Run tests on the software and record the results
 --vgarousi Tue Aug 02 2011 09:46:36 GMT-0600 (Mountain Daylight Time)</t>
      </text>
    </comment>
    <comment authorId="0" ref="BK2">
      <text>
        <t xml:space="preserve">From Jeff Offutt: "Evaluate results of testing (pass/fail), a.k.a. test verdict, and report results to developers
 --vgarousi Tue Aug 02 2011 09:47:13 GMT-0600 (Mountain Daylight Time)</t>
      </text>
    </comment>
    <comment authorId="0" ref="BV2">
      <text>
        <t xml:space="preserve">e.g., use case, UML diagrams, FSM</t>
      </text>
    </comment>
    <comment authorId="0" ref="BW2">
      <text>
        <t xml:space="preserve">for function, HTML element, global variables </t>
      </text>
    </comment>
    <comment authorId="0" ref="BX2">
      <text>
        <t xml:space="preserve">type: Session or Query Symbolic execution logs
, operational proﬁles</t>
      </text>
    </comment>
    <comment authorId="0" ref="CQ2">
      <text>
        <t xml:space="preserve">e.g., in JUnit
 --vgarousi Thu Sep 29 2011 16:03:50 GMT-0600 (Mountain Daylight Time)</t>
      </text>
    </comment>
    <comment authorId="0" ref="F3">
      <text>
        <t xml:space="preserve">Testing Level: I think it should be "Unit", since in white-box testing approach that they have, they derive test cases for each function/page (thus unit testing).
And System testing should be removed.
In "Type of the Evaluation Method", it should be: coverage (code, model)
For "Static Web Sites vs. Dynamic Web Apps", I think we should treat them as mutual exclusive. If it is dynamic, it will for sure support "static" pages too
The SUT name: wmforum
 --vgarousi Mon Jan 30 2012 11:26:08 GMT-0700 (Mountain Standard Time)</t>
      </text>
    </comment>
    <comment authorId="0" ref="EF3">
      <text>
        <t xml:space="preserve">114+370+72</t>
      </text>
    </comment>
    <comment authorId="0" ref="F4">
      <text>
        <t xml:space="preserve">I do not think it is a "Test method / technique", since it is a case study-based comparison of web testing techniques
So should be "other" (AI)-&gt;case study
WB testing is done here in unit level, so should "BC" be checked, also BQ=1?
And for same reason, BF be checked?
They apply BB testing techniques too, so BH=x, BN=x?
 --vgarousi Mon Jan 30 2012 11:26:08 GMT-0700 (Mountain Standard Time)</t>
      </text>
    </comment>
    <comment authorId="0" ref="G4">
      <text>
        <t xml:space="preserve">after comparison they propose their own technique, therefore AD.
can you please explain the reasons for other comments?
V: discussing in email
 --aysubetincan Tue Feb 28 2012 22:37:08 GMT+0200 (Turkey Standard Time)</t>
      </text>
    </comment>
    <comment authorId="0" ref="AU4">
      <text>
        <t xml:space="preserve">comparison</t>
      </text>
    </comment>
    <comment authorId="0" ref="BM4">
      <text>
        <t xml:space="preserve">since it is AJAX
 --vgarousi Sat Feb 18 2012 17:47:10 GMT-0700 (Mountain Standard Time)</t>
      </text>
    </comment>
    <comment authorId="0" ref="BY4">
      <text>
        <t xml:space="preserve">model from execution states</t>
      </text>
    </comment>
    <comment authorId="0" ref="EB4">
      <text>
        <t xml:space="preserve">they use a large number of tools, but no new one is presented
 --vgarousi Sat Feb 18 2012 17:55:46 GMT-0700 (Mountain Standard Time)</t>
      </text>
    </comment>
    <comment authorId="0" ref="F5">
      <text>
        <t xml:space="preserve">contribution: dont think a metric is proposed here. it is rather a name for their subalgorithm
cient-tier: add DOM
test artifact: add test data
technique used: it id not static analysis. code is executed. kind of concolic but there is no symbolic execution. dynamic analysis maybe?
testing activity: add automation and execution --aysubetincan Sat Feb 04 2012 17:29:27 GMT+0200 (Turkey Standard Time)</t>
      </text>
    </comment>
    <comment authorId="0" ref="AP5">
      <text>
        <t xml:space="preserve">a framework for feed-back directed testing of JavaScript applications. 
Several test generation algorithms are created by instantiating the framework with different prioritization functions and input generators that employ feedback mechanisms. --Mirshokraie October-04-11 10:36:35 PM</t>
      </text>
    </comment>
    <comment authorId="0" ref="AQ5">
      <text>
        <t xml:space="preserve">called Artemis</t>
      </text>
    </comment>
    <comment authorId="0" ref="AR5">
      <text>
        <t xml:space="preserve">It captures event-driven execution model and interaction with DOM. The framework is parameterized by: (i) an execution unit to model the browser and server, (ii) an input generator to produce new input sequences, (iii) a prioritizer to guide the exploration of the application’s state space. --Mirshokraie October-04-11 10:40:24 PM</t>
      </text>
    </comment>
    <comment authorId="0" ref="AS5">
      <text>
        <t xml:space="preserve">code coverage --Mirshokraie October-04-11 9:29:51 PM</t>
      </text>
    </comment>
    <comment authorId="0" ref="EF5">
      <text>
        <t xml:space="preserve">393, 250, 156, 256, 697, 156, 750, 2037, 568, 1857</t>
      </text>
    </comment>
    <comment authorId="0" ref="EI5">
      <text>
        <t xml:space="preserve">10 subjects --Mirshokraie October-04-11 12:43:38 PM</t>
      </text>
    </comment>
    <comment authorId="0" ref="F6">
      <text>
        <t xml:space="preserve">1)experiments performed on pages written in JSP and uses MySQL. (Sabnam  noted their implementation language-we asked for SUT language I believe)
 check coulm DE
2)framework includes record/replay as test technique. the contribution is test suite reduction but it uses record/replay
 --aysubetincan Thu Feb 09 2012 14:56:48 GMT+0200 (GTB Standard Time)</t>
      </text>
    </comment>
    <comment authorId="0" ref="G6">
      <text>
        <t xml:space="preserve">DE you mean tool name? --Mirshokraie Wed 14 Mar 2012 02:30:46 PM PDT</t>
      </text>
    </comment>
    <comment authorId="0" ref="AP6">
      <text>
        <t xml:space="preserve">They present an approach for achieving scalable user-session based testing of web applications. Concept analysis is used for clustering user sessions for test-suite reduction. --Mirshokraie October-04-11 11:35:11 PM</t>
      </text>
    </comment>
    <comment authorId="0" ref="AS6">
      <text>
        <t xml:space="preserve">Test suit reduction. --Mirshokraie October-04-11 11:37:09 PM</t>
      </text>
    </comment>
    <comment authorId="0" ref="BG6">
      <text>
        <t xml:space="preserve">Generating reduced size test suites to provide scalability.  </t>
      </text>
    </comment>
    <comment authorId="0" ref="BQ6">
      <text>
        <t xml:space="preserve">page-level, statement coverage </t>
      </text>
    </comment>
    <comment authorId="0" ref="BR6">
      <text>
        <t xml:space="preserve">coverage of functions, methods </t>
      </text>
    </comment>
    <comment authorId="0" ref="CL6">
      <text>
        <t xml:space="preserve">Using concept analysis to derive reduced test suites. 
--Mirshokraie Fri 07 Oct 2011 01:43:01 PM PDT</t>
      </text>
    </comment>
    <comment authorId="0" ref="CN6">
      <text>
        <t xml:space="preserve">Generates test cases with real data as input. Replay the test cases, and gather coverage information. --Mirshokraie October-05-11 12:40:38 AM</t>
      </text>
    </comment>
    <comment authorId="0" ref="CZ6">
      <text>
        <t xml:space="preserve">40 faults are injected --Mirshokraie October-05-11 12:49:59 AM</t>
      </text>
    </comment>
    <comment authorId="0" ref="DB6">
      <text>
        <t xml:space="preserve">replay time, oracle time </t>
      </text>
    </comment>
    <comment authorId="0" ref="DE6">
      <text>
        <t xml:space="preserve">test suite size</t>
      </text>
    </comment>
    <comment authorId="0" ref="EF6">
      <text>
        <t xml:space="preserve">bookstore web application --Mirshokraie October-05-11 1:16:02 AM</t>
      </text>
    </comment>
    <comment authorId="0" ref="F7">
      <text>
        <t xml:space="preserve">check BX there is a model as a test artifact --aysubetincan Thu Feb 09 2012 22:52:37 GMT+0200 (Turkey Standard Time)</t>
      </text>
    </comment>
    <comment authorId="0" ref="AU7">
      <text>
        <t xml:space="preserve">Empirical study to explore factors in building usage-based
navigation models and the effects on the resultant abstract test cases--Mirshokraie October-06-11 3:58:46 PM</t>
      </text>
    </comment>
    <comment authorId="0" ref="BG7">
      <text>
        <t xml:space="preserve">finding a practical approaches to construct
usage-based navigation models for test case generation. Goal: easily tuning statistical model-based automatic test case generators
toward generating tests closely related to user behavior
or toward new navigations without using large additional
test resources.
--Mirshokraie October-06-11 4:15:45 PM</t>
      </text>
    </comment>
    <comment authorId="0" ref="CK7">
      <text>
        <t xml:space="preserve">"One promising approach to automatic test generation is statistical model-based testing"</t>
      </text>
    </comment>
    <comment authorId="0" ref="CY7">
      <text>
        <t xml:space="preserve">to evaluate how well the generated abstract test cases
represent user sessions, they focus on the abstract test cases' coverage of sequences of requests. --Mirshokraie October-06-11 4:27:16 PM</t>
      </text>
    </comment>
    <comment authorId="0" ref="DP7">
      <text>
        <t xml:space="preserve">user-session testing done at server side --Mirshokraie October-06-11 4:32:15 PM</t>
      </text>
    </comment>
    <comment authorId="0" ref="EF7">
      <text>
        <t xml:space="preserve">602, 5279, 7430, 10718, 30847</t>
      </text>
    </comment>
    <comment authorId="0" ref="F8">
      <text>
        <t xml:space="preserve">I am thinking that Symbolic Execution is a type of "Dynamic Verification (analysis)", b'cos, we are dynamically run the code, thus "AS". What do you think?
It might be a good idea to clear the "AY" since this is not a testing paper, to prevent its impact on the charts and statistics later, same for "CC". 
 --vgarousi Mon Jan 30 2012 11:26:08 GMT-0700 (Mountain Standard Time)</t>
      </text>
    </comment>
    <comment authorId="0" ref="G8">
      <text>
        <t xml:space="preserve">here static and dynamic analyses are combined. real exe:dynamic, symbolic: static
threfore I checked both
--aysubetincan Mon Mar 05 2012 09:24:59 GMT+0200 (Turkey Standard Time)</t>
      </text>
    </comment>
    <comment authorId="0" ref="N8">
      <text>
        <t xml:space="preserve">to discuss
 --vgarousi Tue Aug 02 2011 06:36:10 GMT-0600 (Mountain Daylight Time)</t>
      </text>
    </comment>
    <comment authorId="0" ref="CR8">
      <text>
        <t xml:space="preserve">not testing
 --aysubetincan Mon Mar 05 2012 09:24:16 GMT+0200 (Turkey Standard Time)</t>
      </text>
    </comment>
    <comment authorId="0" ref="F9">
      <text>
        <t xml:space="preserve">There seems to be a proposed model as well "User Session Information Model", in page 3, thus AF=x?
I added the metric names on AG
Why is it a "process"? I think it should be instead a "Technique" as in the title.
A test suite minimization techniques as well, under AY?
 --vgarousi Mon Jan 30 2012 11:26:08 GMT-0700 (Mountain Standard Time)</t>
      </text>
    </comment>
    <comment authorId="0" ref="AS9">
      <text>
        <t xml:space="preserve">-Essentiality criterion
-Row dominance criterion
-Column dominance criterion
 --vgarousi Sun Feb 19 2012 17:40:27 GMT-0700 (Mountain Standard Time)</t>
      </text>
    </comment>
    <comment authorId="0" ref="BL9">
      <text>
        <t xml:space="preserve">test suite minimization</t>
      </text>
    </comment>
    <comment authorId="0" ref="CL9">
      <text>
        <t xml:space="preserve">classification of user logs
-vgarousi Mon Jan 23 2012 10:32:36 GMT-0700 (Mountain Standard Time)</t>
      </text>
    </comment>
    <comment authorId="0" ref="EE9">
      <text>
        <t xml:space="preserve">discussed in 2nd paragraph of Section 4
 --vgarousi Sun Feb 19 2012 19:07:02 GMT-0700 (Mountain Standard Time)</t>
      </text>
    </comment>
    <comment authorId="0" ref="EF9">
      <text>
        <t xml:space="preserve">bookstore web application </t>
      </text>
    </comment>
    <comment authorId="0" ref="F10">
      <text>
        <t xml:space="preserve">should AE=x ? it is more of a test method.
V: “A support tool, named WAT (Web Application Testing), is implemented to automate the testing process.”
 --Mirshokraie March-04-12 10:46:22 PM</t>
      </text>
    </comment>
    <comment authorId="0" ref="AQ10">
      <text>
        <t xml:space="preserve">"A support tool, named WAT (Web Application Testing), is implemented to automate the testing process.”</t>
      </text>
    </comment>
    <comment authorId="0" ref="BD10">
      <text>
        <t xml:space="preserve">data-flow WB testing 
interesting: at the method level, object level, and object cluster level, from low abstraction level to high abstraction level.
--vgarousi Tue Aug 09 2011 18:32:36 GMT-0600 (Mountain Daylight Time)</t>
      </text>
    </comment>
    <comment authorId="0" ref="BG10">
      <text>
        <t xml:space="preserve">def-use pair coverage
 --vgarousi Tue Aug 09 2011 20:16:18 GMT-0600 (Mountain Daylight Time)</t>
      </text>
    </comment>
    <comment authorId="0" ref="BI10">
      <text>
        <t xml:space="preserve">an agent-based framework  
(see Sec 3.2 of paper)
--vgarousi Tue Aug 09 2011 20:17:33 GMT-0600 (Mountain Daylight Time)</t>
      </text>
    </comment>
    <comment authorId="0" ref="BO10">
      <text>
        <t xml:space="preserve">JS in HTML
JSP in server</t>
      </text>
    </comment>
    <comment authorId="0" ref="BR10">
      <text>
        <t xml:space="preserve">WB, Object cluster level testing
 --vgarousi Tue Aug 09 2011 20:39:48 GMT-0600 (Mountain Daylight Time)</t>
      </text>
    </comment>
    <comment authorId="0" ref="CE10">
      <text>
        <t xml:space="preserve">using agents, goals: Minimize Cost and Maximize Coverage.
 --vgarousi Tue Aug 09 2011 20:44:52 GMT-0600 (Mountain Daylight Time)</t>
      </text>
    </comment>
    <comment authorId="0" ref="CL10">
      <text>
        <t xml:space="preserve">using agents, goals: Minimize Cost and Maximize Coverage.
 --vgarousi Tue Aug 09 2011 20:44:52 GMT-0600 (Mountain Daylight Time)</t>
      </text>
    </comment>
    <comment authorId="0" ref="CO10">
      <text>
        <t xml:space="preserve">def-use pairs
 --vgarousi Tue Aug 09 2011 20:46:01 GMT-0600 (Mountain Daylight Time)</t>
      </text>
    </comment>
    <comment authorId="0" ref="CU10">
      <text>
        <t xml:space="preserve">they say "To automate the data-Xow testing described in Section
3.1, an agent-based framework is proposed."
 --vgarousi Tue Aug 09 2011 21:42:10 GMT-0600 (Mountain Daylight Time)</t>
      </text>
    </comment>
    <comment authorId="0" ref="EB10">
      <text>
        <t xml:space="preserve">An agent-based framework
 --vgarousi Tue Aug 09 2011 21:46:39 GMT-0600 (Mountain Daylight Time)</t>
      </text>
    </comment>
    <comment authorId="0" ref="EG10">
      <text>
        <t xml:space="preserve">A Home Appliance Control System-HACS consists of 8 JSPfiles, 2 HTMLfiles, and an Enterprise JavaBean that contains 23 Java Wles.
 --vgarousi Tue Aug 09 2011 21:47:56 GMT-0600 (Mountain Daylight Time)</t>
      </text>
    </comment>
    <comment authorId="0" ref="F11">
      <text>
        <t xml:space="preserve">Regarding BJ, are user logs the primary source of information to derive test cases? 
V: yes, please see Fig 2
no requirements (when they compare different test suite reductions)? 
V: right. In Fig 2.
--Mirshokraie March-04-12 11:24:49 PM</t>
      </text>
    </comment>
    <comment authorId="0" ref="AU11">
      <text>
        <t xml:space="preserve">Empirical Comparison
</t>
      </text>
    </comment>
    <comment authorId="0" ref="BL11">
      <text>
        <t xml:space="preserve">test minimization</t>
      </text>
    </comment>
    <comment authorId="0" ref="BN11">
      <text>
        <t xml:space="preserve">we target web applications written in Java using servlets and JSPs. The applications consist of a back-end data store and a web server.
 --vgarousi Sun Aug 21 2011 16:24:03 GMT-0600 (Mountain Daylight Time)</t>
      </text>
    </comment>
    <comment authorId="0" ref="BV11">
      <text>
        <t xml:space="preserve">See Fig. 2 (create requirements mapping for each test case)
</t>
      </text>
    </comment>
    <comment authorId="0" ref="CK11">
      <text>
        <t xml:space="preserve">"requirements-based reduction techniques and a concept analysis-based approach."</t>
      </text>
    </comment>
    <comment authorId="0" ref="CL11">
      <text>
        <t xml:space="preserve">"requirements-based reduction techniques and a concept analysis-based approach."</t>
      </text>
    </comment>
    <comment authorId="0" ref="DP11">
      <text>
        <t xml:space="preserve">since User-session-based Testing is for server-side testing only
 --vgarousi Sun Aug 21 2011 16:28:44 GMT-0600 (Mountain Daylight Time)</t>
      </text>
    </comment>
    <comment authorId="0" ref="EB11">
      <text>
        <t xml:space="preserve">no tool since this is a Empirical Comparison paper
 --vgarousi Sun Aug 21 2011 16:29:52 GMT-0600 (Mountain Daylight Time)</t>
      </text>
    </comment>
    <comment authorId="0" ref="EF11">
      <text>
        <t xml:space="preserve">7791+9300</t>
      </text>
    </comment>
    <comment authorId="0" ref="F12">
      <text>
        <t xml:space="preserve">1) evalution paper? i am not sure. it is proposing an analysis model but it is using their previous tools 
2) maybe adding dataflow testing as other methodology
--aysubetincan Thu Feb 09 2012 23:31:51 GMT+0200 (Turkey Standard Time)</t>
      </text>
    </comment>
    <comment authorId="0" ref="AQ12">
      <text>
        <t xml:space="preserve">ReWeb and TestWeb </t>
      </text>
    </comment>
    <comment authorId="0" ref="AR12">
      <text>
        <t xml:space="preserve">UML model </t>
      </text>
    </comment>
    <comment authorId="0" ref="BF12">
      <text>
        <t xml:space="preserve">Dynamic validation of two web applications --Mirshokraie October-07-11 1:56:56 AM</t>
      </text>
    </comment>
    <comment authorId="0" ref="BG12">
      <text>
        <t xml:space="preserve">Test cases are sequences of URLs, when executed, the coverage of the selected criterion is achieved </t>
      </text>
    </comment>
    <comment authorId="0" ref="BJ12">
      <text>
        <t xml:space="preserve">Recording results and re-execute for regression testing </t>
      </text>
    </comment>
    <comment authorId="0" ref="BT12">
      <text>
        <t xml:space="preserve">Driving Web application testing such that it can be used to define white
box testing criteria</t>
      </text>
    </comment>
    <comment authorId="0" ref="CL12">
      <text>
        <t xml:space="preserve">dataflow testing --Mirshokraie March-17-12 4:40:26 PM</t>
      </text>
    </comment>
    <comment authorId="0" ref="CN12">
      <text>
        <t xml:space="preserve">Input values in each URL sequence are left empty which should be filled by the user. --Mirshokraie October-07-11 2:48:10 AM</t>
      </text>
    </comment>
    <comment authorId="0" ref="CO12">
      <text>
        <t xml:space="preserve">Generated test cases
are sequences of URLs for the coverage
of the selected criterion --Mirshokraie October-07-11 2:46:26 AM</t>
      </text>
    </comment>
    <comment authorId="0" ref="CU12">
      <text>
        <t xml:space="preserve">semi-automated --Mirshokraie October-07-11 2:49:37 AM</t>
      </text>
    </comment>
    <comment authorId="0" ref="CY12">
      <text>
        <t xml:space="preserve">Exercising the two websites up to a satisfactory level of coverage --Mirshokraie October-07-11 3:04:29 AM</t>
      </text>
    </comment>
    <comment authorId="0" ref="DA12">
      <text>
        <t xml:space="preserve">From the paper in the experimental result section : Execution of the full test suite and manual verification of the outcomes take about 1 working day.  </t>
      </text>
    </comment>
    <comment authorId="0" ref="EG12">
      <text>
        <t xml:space="preserve">They didn't mention anything about Wordnet. Just say that a portion of Wordnet has been examined. --Mirshokraie October-07-11 3:29:02 AM</t>
      </text>
    </comment>
    <comment authorId="0" ref="F13">
      <text>
        <t xml:space="preserve">1)wrong comment in column DC:They did not mention whether they implement their algorithm with java 
2) SUT uses JSP, check colum DE
3) check column CF:coverage checked with clover
4) check column CG:manual fault seeding
5)although focus is on test reduction, they do generate test inputs (BY) and test code(scripts)
6) check BV: they also give a replay mechanism
 --aysubetincan Thu Feb 09 2012 15:01:06 GMT+0200 (GTB Standard Time)</t>
      </text>
    </comment>
    <comment authorId="0" ref="AP13">
      <text>
        <t xml:space="preserve">An approach for test suite reduction </t>
      </text>
    </comment>
    <comment authorId="0" ref="AX13">
      <text>
        <t xml:space="preserve">From the paper: We Provide evidence of the potential effectiveness of applying the proposed methodology.
 --Mirshokraie Fri 07 Oct 2011 01:25:45 PM PDT</t>
      </text>
    </comment>
    <comment authorId="0" ref="BD13">
      <text>
        <t xml:space="preserve">They would like to test the functionality of web applications by using concept analysis for generating reduced test suits --Mirshokraie Fri 07 Oct 2011 02:44:59 PM PDT</t>
      </text>
    </comment>
    <comment authorId="0" ref="BE13">
      <text>
        <t xml:space="preserve">concept analysis on user logs --Mirshokraie Fri 07 Oct 2011 02:42:53 PM PDT</t>
      </text>
    </comment>
    <comment authorId="0" ref="BJ13">
      <text>
        <t xml:space="preserve">Capture and replay --Mirshokraie Fri 07 Oct 2011 01:29:00 PM PDT</t>
      </text>
    </comment>
    <comment authorId="0" ref="BN13">
      <text>
        <t xml:space="preserve">The approach is based on user log sessions --Mirshokraie Fri 07 Oct 2011 01:29:21 PM PDT</t>
      </text>
    </comment>
    <comment authorId="0" ref="BX13">
      <text>
        <t xml:space="preserve">Note: They do not computing the requirements' mapping prior to reductipon--&gt;time saving --Mirshokraie Fri 07 Oct 2011 01:32:58 PM PDT</t>
      </text>
    </comment>
    <comment authorId="0" ref="CL13">
      <text>
        <t xml:space="preserve">concept analysis</t>
      </text>
    </comment>
    <comment authorId="0" ref="CR13">
      <text>
        <t xml:space="preserve">Reduced test suites --Mirshokraie Fri 07 Oct 2011 01:52:31 PM PDT</t>
      </text>
    </comment>
    <comment authorId="0" ref="CY13">
      <text>
        <t xml:space="preserve">They evaluate code coverage using a tool called Clover --Mirshokraie Fri 07 Oct 2011 01:54:02 PM PDT</t>
      </text>
    </comment>
    <comment authorId="0" ref="DA13">
      <text>
        <t xml:space="preserve">Manually creating and comparing fault detection reports for each reduced test suit --Mirshokraie Fri 07 Oct 2011 01:53:15 PM PDT</t>
      </text>
    </comment>
    <comment authorId="0" ref="EF13">
      <text>
        <t xml:space="preserve">7615+9401+999</t>
      </text>
    </comment>
    <comment authorId="0" ref="EG13">
      <text>
        <t xml:space="preserve">see Table 1 --Mirshokraie Fri 07 Oct 2011 02:27:56 PM PDT</t>
      </text>
    </comment>
    <comment authorId="0" ref="EH13">
      <text>
        <t xml:space="preserve">CPM, MASPLAS --Mirshokraie Fri 07 Oct 2011 02:39:30 PM PDT</t>
      </text>
    </comment>
    <comment authorId="0" ref="EI13">
      <text>
        <t xml:space="preserve">Book --Mirshokraie Fri 07 Oct 2011 02:39:21 PM PDT</t>
      </text>
    </comment>
    <comment authorId="0" ref="A14">
      <text>
        <t xml:space="preserve">this paper has nice intro to web SW defects:
See the paragraph in p.1 starting with: "Society suffers many losses due to web application
failures." 
--vgarousi Sun Aug 21 2011 16:49:50 GMT-0600 (Mountain Daylight Time)</t>
      </text>
    </comment>
    <comment authorId="0" ref="F14">
      <text>
        <t xml:space="preserve">I'm agree with selected items.
 --Mirshokraie March-05-12 11:20:25 PM</t>
      </text>
    </comment>
    <comment authorId="0" ref="BG14">
      <text>
        <t xml:space="preserve">killing mutants is considered a test criteria 
--vgarousi Sun Aug 21 2011 16:36:34 GMT-0600 (Mountain Daylight Time)</t>
      </text>
    </comment>
    <comment authorId="0" ref="BR14">
      <text>
        <t xml:space="preserve">their mutation operators are at these levels
</t>
      </text>
    </comment>
    <comment authorId="0" ref="BT14">
      <text>
        <t xml:space="preserve">with mutations in Source code
</t>
      </text>
    </comment>
    <comment authorId="0" ref="CL14">
      <text>
        <t xml:space="preserve">mutation testing
 --vgarousi Sun Aug 21 2011 16:53:13 GMT-0600 (Mountain Daylight Time)</t>
      </text>
    </comment>
    <comment authorId="0" ref="CO14">
      <text>
        <t xml:space="preserve">a mutant is a test requirements (a test case is needed to kill it)
 --vgarousi Sun Aug 21 2011 16:53:58 GMT-0600 (Mountain Daylight Time)</t>
      </text>
    </comment>
    <comment authorId="0" ref="CT14">
      <text>
        <t xml:space="preserve">First, we used web-MuJava to create mutants. Second, we generated tests by hand and automated them. Third, we seeded faults into a subject program. 
 --vgarousi Sun Aug 21 2011 16:56:13 GMT-0600 (Mountain Daylight Time)</t>
      </text>
    </comment>
    <comment authorId="0" ref="CU14">
      <text>
        <t xml:space="preserve">they have a tool to do mutation testing
 --vgarousi Sun Aug 21 2011 16:54:35 GMT-0600 (Mountain Daylight Time)</t>
      </text>
    </comment>
    <comment authorId="0" ref="EB14">
      <text>
        <t xml:space="preserve"> based on muJava
 --vgarousi Sun Aug 21 2011 16:57:27 GMT-0600 (Mountain Daylight Time)</t>
      </text>
    </comment>
    <comment authorId="0" ref="EC14">
      <text>
        <t xml:space="preserve">they say: "When webMuJava is stable, we will release it
to the community as an experimental resource." 
but it is not available yet
--vgarousi Sun Aug 21 2011 16:59:33 GMT-0600 (Mountain Daylight Time)</t>
      </text>
    </comment>
    <comment authorId="0" ref="EE14">
      <text>
        <t xml:space="preserve">"Small Text Information System
(STIS)"</t>
      </text>
    </comment>
    <comment authorId="0" ref="F15">
      <text>
        <t xml:space="preserve">could you comment on AV=x.
V: Well, the paper title is: "Automated Cross-Browser Compatibility Testing"!
 --Mirshokraie Tue 06 Mar 2012 03:54:10 PM PST</t>
      </text>
    </comment>
    <comment authorId="0" ref="Q15">
      <text>
        <t xml:space="preserve">Authors pose it as Functional testing...
"Look-and-feel versus Functionality"
"we believe that the issue should be addressed as a generalized problem of checking functional consistency of web application behavior across web browsers, rather than purely a ‘look-and-feel’ issue. 
 --vgarousi Tue Aug 02 2011 09:12:32 GMT-0600 (Mountain Daylight Time)</t>
      </text>
    </comment>
    <comment authorId="0" ref="AQ15">
      <text>
        <t xml:space="preserve">presents tool CrossT
Crawljax is also used in this paper, but presented in other paper
 --vgarousi Sun Aug 21 2011 17:50:35 GMT-0600 (Mountain Daylight Time)</t>
      </text>
    </comment>
    <comment authorId="0" ref="AR15">
      <text>
        <t xml:space="preserve">called navigation model.
 --vgarousi Sun Aug 21 2011 17:50:04 GMT-0600 (Mountain Daylight Time)</t>
      </text>
    </comment>
    <comment authorId="0" ref="BG15">
      <text>
        <t xml:space="preserve">based on state charts
 --vgarousi Sun Aug 21 2011 17:53:43 GMT-0600 (Mountain Daylight Time)</t>
      </text>
    </comment>
    <comment authorId="0" ref="BM15">
      <text>
        <t xml:space="preserve"> Cross-Browser Compatibility Testing
is client side
 --vgarousi Sun Aug 21 2011 17:54:11 GMT-0600 (Mountain Daylight Time)</t>
      </text>
    </comment>
    <comment authorId="0" ref="BQ15">
      <text>
        <t xml:space="preserve">sort of
Examples in Table 1: (Examples of browser DOM diﬀerences) look unit-HTML level.
</t>
      </text>
    </comment>
    <comment authorId="0" ref="CR15">
      <text>
        <t xml:space="preserve">the two navigation models built are compared to find differences (defects).
 --vgarousi Sun Aug 21 2011 17:59:29 GMT-0600 (Mountain Daylight Time)</t>
      </text>
    </comment>
    <comment authorId="0" ref="DA15">
      <text>
        <t xml:space="preserve">"we manually inspect
each subject in the given browsers, to document the observ-
able trace-level and screen-level diﬀerences."
"XMLUnit’s diff method (further
referenced as XDiff) as a baseline to evaluate the performance of our approach for detecting cross-browser DOM-
level diﬀerences."
</t>
      </text>
    </comment>
    <comment authorId="0" ref="EF15">
      <text>
        <t xml:space="preserve">214095+90742+58701=363,538
</t>
      </text>
    </comment>
    <comment authorId="0" ref="A16">
      <text>
        <t xml:space="preserve">this is a static-analysis based approach. </t>
      </text>
    </comment>
    <comment authorId="0" ref="AP16">
      <text>
        <t xml:space="preserve">an approach for automatically identifying parameter mismatches in web applications. The approach works in 3 steps: (i) identifying the set of interfaces accepted by each web component, (ii) determining the set of interface invocations performed by each web component,(iii) checking whether each interface invocation
matches an accepted interface of the invocation target.
--Mirshokraie October-24-11 12:54:40 AM</t>
      </text>
    </comment>
    <comment authorId="0" ref="AQ16">
      <text>
        <t xml:space="preserve">prototype implementation. --Mirshokraie October-24-11 12:56:39 AM</t>
      </text>
    </comment>
    <comment authorId="0" ref="BE16">
      <text>
        <t xml:space="preserve">From the paper: we propose a static analysis based approach... --Mirshokraie October-24-11 12:57:21 AM</t>
      </text>
    </comment>
    <comment authorId="0" ref="BL16">
      <text>
        <t xml:space="preserve">the algorithm analyzes the classes in a web application and outputs a list of interface invocations that do not match any accepted interface</t>
      </text>
    </comment>
    <comment authorId="0" ref="BV16">
      <text>
        <t xml:space="preserve">To identify invocations, it visits each node of the component's inter-procedural control 
flow graph (ICFG), identifies all call
sites that invoke API methods used to make direct invocations, and analyzes the parameters of these calls to extract
the invocation URL. from the paper: It relies on a worklist-based data flow analysis and a modular analysis based on the use of method summaries. It analyzes each method or group of strongly connected
methods of the component in reverse topological order with
respect to the call graph.
 --Mirshokraie October-24-11 1:22:42 AM</t>
      </text>
    </comment>
    <comment authorId="0" ref="CR16">
      <text>
        <t xml:space="preserve">list of interface invocations that do not match any accepted interface. --Mirshokraie October-24-11 1:38:26 AM</t>
      </text>
    </comment>
    <comment authorId="0" ref="DA16">
      <text>
        <t xml:space="preserve">the precision is evaluated by manual inspecting of the code.  
(ii) precision: manually inspecting the code that generated every
mismatch to determine whether the mismatch represents an actual error or is a false positive.</t>
      </text>
    </comment>
    <comment authorId="0" ref="DB16">
      <text>
        <t xml:space="preserve">evaluating (i) efficiency: the time necessary to complete the three steps of the approach, identifying cases in which it was not possible to run the analysis because of memory limitations or problems with libraries. </t>
      </text>
    </comment>
    <comment authorId="0" ref="F17">
      <text>
        <t xml:space="preserve">1) is it client side or server side? the comparators works on HTML but the SUTs are written in JSP 
2) check jsp in cloumn DA
3) evaluation includes mutation and manual comparison as noted in comment of CI--aysubetincan Sat Feb 11 2012 20:49:07 GMT+0200 (Turkey Standard Time)</t>
      </text>
    </comment>
    <comment authorId="0" ref="G17">
      <text>
        <t xml:space="preserve">it seems that it is server side. --Mirshokraie March-18-12 10:27:54 PM</t>
      </text>
    </comment>
    <comment authorId="0" ref="AQ17">
      <text>
        <t xml:space="preserve">a suit of automated oracle comparator. It's been integrated in a previously developed tool by the authors which helps testers to evaluate test suit results in detail (see ref 22).   --Mirshokraie October-09-11 2:57:36 AM</t>
      </text>
    </comment>
    <comment authorId="0" ref="AU17">
      <text>
        <t xml:space="preserve">Oracle comparator</t>
      </text>
    </comment>
    <comment authorId="0" ref="BF17">
      <text>
        <t xml:space="preserve">comparing actual and expected outcome from the execution of the web app under test. --Mirshokraie October-09-11 3:14:55 AM</t>
      </text>
    </comment>
    <comment authorId="0" ref="BQ17">
      <text>
        <t xml:space="preserve">testing of each HTML document generated by an HTML request. --Mirshokraie October-09-11 3:30:15 AM</t>
      </text>
    </comment>
    <comment authorId="0" ref="CA17">
      <text>
        <t xml:space="preserve">They assume that test cases have been derived before. They use 3 oracles to test HTML document responses. Oracles are document-based, content-based, and structure-based.</t>
      </text>
    </comment>
    <comment authorId="0" ref="CD17">
      <text>
        <t xml:space="preserve">of HTML docs</t>
      </text>
    </comment>
    <comment authorId="0" ref="DA17">
      <text>
        <t xml:space="preserve">(i)finding false positive and false negative by manually seeding faults, (ii) examining the types of faults each oracle reveal, (iii) the costs of oracle comparator in terms of time and space.
The authors also mentioned that they manually determined the expected pass/no pass results for the ideal oracle. --Mirshokraie March-18-12 10:19:12 PM</t>
      </text>
    </comment>
    <comment authorId="0" ref="DB17">
      <text>
        <t xml:space="preserve">(iii) the costs of oracle comparator in terms of time and space.
</t>
      </text>
    </comment>
    <comment authorId="0" ref="DM17">
      <text>
        <t xml:space="preserve">From the paper: We developed a suite of 22 HTML-based automated oracle comparators for testing web applications. --Mirshokraie October-09-11 4:03:40 AM</t>
      </text>
    </comment>
    <comment authorId="0" ref="EF17">
      <text>
        <t xml:space="preserve">999+7791+8947+49513</t>
      </text>
    </comment>
    <comment authorId="0" ref="EI17">
      <text>
        <t xml:space="preserve">Book and DSpace --Mirshokraie October-09-11 4:11:13 AM</t>
      </text>
    </comment>
    <comment authorId="0" ref="F18">
      <text>
        <t xml:space="preserve">1) uncheck column BP:they say whitebox but there is no code analysis
"Step 2 constructs the graph structure of the modified web
application as a set of nodes (pages) and edges (links). This
phase is essentially a white box analysis phase "
2) looks like a manual comparison as evaluation
3) web server tier tech: unknown. which tech is used in SUT is not given
 --aysubetincan Mon Feb 13 2012 00:37:49 GMT+0200 (Turkey Standard Time)</t>
      </text>
    </comment>
    <comment authorId="0" ref="G18">
      <text>
        <t xml:space="preserve">you are right-no code analysis. step 1 uses relational db implementation and step 2 uses crawling/spidering. So what is the technique then? --Mirshokraie March-18-12 11:12:07 PM</t>
      </text>
    </comment>
    <comment authorId="0" ref="AP18">
      <text>
        <t xml:space="preserve">an approach to web application regression testing, based on repair of user session data. --Mirshokraie October-23-11 1:52:42 AM</t>
      </text>
    </comment>
    <comment authorId="0" ref="AQ18">
      <text>
        <t xml:space="preserve">a prototype of the regression testing tool has been implemented. --Mirshokraie October-23-11 1:54:03 AM</t>
      </text>
    </comment>
    <comment authorId="0" ref="BL18">
      <text>
        <t xml:space="preserve">Repairing old session data so that they can be reused when testing changes made to the web application. --Mirshokraie October-23-11 1:56:11 AM</t>
      </text>
    </comment>
    <comment authorId="0" ref="BT18">
      <text>
        <t xml:space="preserve">white box examination of the structure of the changed web application to detect changes and a set of techniques to map
these detected changes onto repair actions. --Mirshokraie October-23-11 1:58:58 AM</t>
      </text>
    </comment>
    <comment authorId="0" ref="CR18">
      <text>
        <t xml:space="preserve">repaired set of session data </t>
      </text>
    </comment>
    <comment authorId="0" ref="DE18">
      <text>
        <t xml:space="preserve">(ii) scalability study (done by a controlled experiment): performance of the algorithm determined by the size of the session database.
Note: No update of session data was performed between each release. The aim was that the original session data would become increasingly out of date, presenting a monotonically increasing level of challenge to the repair algorithm. </t>
      </text>
    </comment>
    <comment authorId="0" ref="EA18">
      <text>
        <t xml:space="preserve">step 1 of the repair algorithm is achieved using a standard relational database
implementation with session data are loaded from an XML session log. Step 2 is implemented using a version of the web-spidering tool, JSpider, tailored to handled forms and dynamic pages in the manner. Steps 3 and 4 from implementation components constructed specifically for the regression session
repair tool. --Mirshokraie October-23-11 2:25:20 AM</t>
      </text>
    </comment>
    <comment authorId="0" ref="EE18">
      <text>
        <t xml:space="preserve">10 version of bookstore application produced through a series of changes according to a set of user requests for additional and changed functionality. --Mirshokraie October-23-11 2:34:19 AM</t>
      </text>
    </comment>
    <comment authorId="0" ref="F19">
      <text>
        <t xml:space="preserve">there is a tool, but Tool column is not checked. 
V: Thanks. Done
also BP column:"static analysis is used
to automatically create a coverage database". is this because they are not directly test related?
V: Thanks. added
 --aysubetincan Thu Feb 16 2012 17:59:30 GMT+0200 (Turkey Standard Time)</t>
      </text>
    </comment>
    <comment authorId="0" ref="AQ19">
      <text>
        <t xml:space="preserve">DWASTIC
--vgarousi Sun Feb 26 2012 11:56:08 GMT-0700 (Mountain Standard Time)</t>
      </text>
    </comment>
    <comment authorId="0" ref="AS19">
      <text>
        <t xml:space="preserve">the coverage criteria in this paper are based on page access, use of server variables, and interactions with the
database </t>
      </text>
    </comment>
    <comment authorId="0" ref="BG19">
      <text>
        <t xml:space="preserve">Coverage criteria
 --vgarousi Sun Aug 21 2011 18:48:45 GMT-0600 (Mountain Daylight Time)</t>
      </text>
    </comment>
    <comment authorId="0" ref="BN19">
      <text>
        <t xml:space="preserve">since the coverage criteria in this paper are based on page access, use of server variables, and interactions with the
database
 --vgarousi Sun Aug 21 2011 18:49:07 GMT-0600 (Mountain Daylight Time)</t>
      </text>
    </comment>
    <comment authorId="0" ref="BQ19">
      <text>
        <t xml:space="preserve">since the coverage criteria are based on page access
 --vgarousi Sun Aug 21 2011 18:50:09 GMT-0600 (Mountain Daylight Time)</t>
      </text>
    </comment>
    <comment authorId="0" ref="BT19">
      <text>
        <t xml:space="preserve">coverage of PHP and SQL code
 --vgarousi Mon Aug 22 2011 10:11:14 GMT-0600 (Mountain Daylight Time)</t>
      </text>
    </comment>
    <comment authorId="0" ref="CA19">
      <text>
        <t xml:space="preserve">Coverage of Server Environment Variable 
 --vgarousi Mon Aug 22 2011 10:11:39 GMT-0600 (Mountain Daylight Time)</t>
      </text>
    </comment>
    <comment authorId="0" ref="CD19">
      <text>
        <t xml:space="preserve">"static analysis is used
to automatically create a coverage database"
 --vgarousi Sun Feb 26 2012 11:57:43 GMT-0700 (Mountain Standard Time)</t>
      </text>
    </comment>
    <comment authorId="0" ref="CO19">
      <text>
        <t xml:space="preserve">coverage is a type of Test requirements, test cases needed to satisfy coverage
 --vgarousi Mon Aug 22 2011 10:13:09 GMT-0600 (Mountain Daylight Time)</t>
      </text>
    </comment>
    <comment authorId="0" ref="EB19">
      <text>
        <t xml:space="preserve">Dynamic Web ApplicationS Testing Instrumentation Coverage
 --vgarousi Mon Aug 22 2011 10:15:49 GMT-0600 (Mountain Daylight Time)</t>
      </text>
    </comment>
    <comment authorId="0" ref="EF19">
      <text>
        <t xml:space="preserve">
 --vgarousi Mon Aug 22 2011 10:14:51 GMT-0600 (Mountain Daylight Time)</t>
      </text>
    </comment>
    <comment authorId="0" ref="EI19">
      <text>
        <t xml:space="preserve">PhpBB 2.0 and Moodle
 --vgarousi Sun Aug 21 2011 18:47:55 GMT-0600 (Mountain Daylight Time)</t>
      </text>
    </comment>
    <comment authorId="0" ref="F20">
      <text>
        <t xml:space="preserve">-I think it could be AK.
-It is mainly a test evaluation (oracle), could you please comment on AV=x?
-Please provide comments on CC=x and BM=x
 --Mirshokraie March-07-12 2:36:09 AM</t>
      </text>
    </comment>
    <comment authorId="0" ref="CA20">
      <text>
        <t xml:space="preserve">test results</t>
      </text>
    </comment>
    <comment authorId="0" ref="EF20">
      <text>
        <t xml:space="preserve">155K+185K+35K</t>
      </text>
    </comment>
    <comment authorId="0" ref="F21">
      <text>
        <t xml:space="preserve">onlinecarreservation system:SUT as motivating example
2) unit? test is a sequence of transitions. i cannot decide whether it is unit testing like Shabnam
 --aysubetincan Thu Feb 16 2012 19:18:33 GMT+0200 (Turkey Standard Time)</t>
      </text>
    </comment>
    <comment authorId="0" ref="G21">
      <text>
        <t xml:space="preserve">I don't think it's unit-testing. _Ali
Do you think it is unit testing? because I am not sure whether it is or not. --Mirshokraie Fri 16 Mar 2012 01:57:23 PM PDT</t>
      </text>
    </comment>
    <comment authorId="0" ref="N21">
      <text>
        <t xml:space="preserve">There are a number of papers on testing "web database applications"
We need to discuss how we will deal with them
I personally beleive database testing in this case is something functional
 --vgarousi Tue Aug 02 2011 10:42:42 GMT-0600 (Mountain Daylight Time)</t>
      </text>
    </comment>
    <comment authorId="0" ref="Q21">
      <text>
        <t xml:space="preserve">I personally beleive database testing in this case is something functional
 --vgarousi Tue Aug 02 2011 10:44:07 GMT-0600 (Mountain Daylight Time)</t>
      </text>
    </comment>
    <comment authorId="0" ref="AQ21">
      <text>
        <t xml:space="preserve">AutoDBT --Mirshokraie October-13-11 2:01:58 AM</t>
      </text>
    </comment>
    <comment authorId="0" ref="AR21">
      <text>
        <t xml:space="preserve">From the paper: We show that we can model every kind of database
transaction and examine several case studies...
 --Mirshokraie October-13-11 2:04:44 AM</t>
      </text>
    </comment>
    <comment authorId="0" ref="BD21">
      <text>
        <t xml:space="preserve">This paper presents a framework, AutoDBT, for the functional (black-box) testing of a web database application. --Mirshokraie October-13-11 2:13:15 AM</t>
      </text>
    </comment>
    <comment authorId="0" ref="BG21">
      <text>
        <t xml:space="preserve">AutoDBT generates test cases. It takes as input a model of the application and a set of testing criteria
--Mirshokraie October-13-11 2:16:28 AM</t>
      </text>
    </comment>
    <comment authorId="0" ref="BK21">
      <text>
        <t xml:space="preserve">AutoDBT generates partial oracles </t>
      </text>
    </comment>
    <comment authorId="0" ref="BV21">
      <text>
        <t xml:space="preserve">Test case is generated from a test sequence. Based on the state transition diagram, for any given test coverage criteria, they automatically generate a test sequence.
--Mirshokraie October-13-11 2:55:00 AM</t>
      </text>
    </comment>
    <comment authorId="0" ref="CA21">
      <text>
        <t xml:space="preserve">test case is generated from a test sequence. A guard is a query to determine whether a test sequence can be
instantiated to produce a test case --Mirshokraie October-13-11 2:48:10 AM</t>
      </text>
    </comment>
    <comment authorId="0" ref="CK21">
      <text>
        <t xml:space="preserve">Database Extended Finite State Machine (DEFSM)
 --vgarousi Mon Jan 23 2012 10:22:05 GMT-0700 (Mountain Standard Time)</t>
      </text>
    </comment>
    <comment authorId="0" ref="CO21">
      <text>
        <t xml:space="preserve">the requirements should be met through guard checking and evaluating--Mirshokraie October-13-11 3:03:20 AM</t>
      </text>
    </comment>
    <comment authorId="0" ref="DB21">
      <text>
        <t xml:space="preserve">Measuring the cost of evaluating a guard as well as conducting a case study </t>
      </text>
    </comment>
    <comment authorId="0" ref="EF21">
      <text>
        <t xml:space="preserve">WSU’s IT student computing services, WSU’s eInfoCenter for current students, WSU’s ResNet self-certification web page, Mapquest --Mirshokraie October-13-11 3:39:42 AM</t>
      </text>
    </comment>
    <comment authorId="0" ref="EJ21">
      <text>
        <t xml:space="preserve">not sure whether they are open source or commercial --Mirshokraie October-13-11 3:43:54 AM</t>
      </text>
    </comment>
    <comment authorId="0" ref="F22">
      <text>
        <t xml:space="preserve">I wonder why we have "Process" ticked. I see they use the wording a few times, but it is not really a new test process, just a technique
 --vgarousi Sun Feb 19 2012 19:13:01 GMT-0700 (Mountain Standard Time)</t>
      </text>
    </comment>
    <comment authorId="0" ref="G22">
      <text>
        <t xml:space="preserve">they want to bypass the client and directly access the server. client side should do section2 checks but if someone bypass it invalid input can go to server.
see also page10 2nd column 1st sentence --aysubetincan Fri Mar 23 2012 13:10:10 GMT+0200 (GTB Standard Time)</t>
      </text>
    </comment>
    <comment authorId="0" ref="Q22">
      <text>
        <t xml:space="preserve">They say "Input validation testing checks user inputs to ensure that they conform to the program’s requirements"
This has a partial aspect of functional testing 
--vgarousi Tue Aug 02 2011 10:46:38 GMT-0600 (Mountain Daylight Time)</t>
      </text>
    </comment>
    <comment authorId="0" ref="BT22">
      <text>
        <t xml:space="preserve">analyze client code to test server code. --aysubetincan Sun Nov 13 2011 18:44:25 GMT+0200 (Turkey Standard Time)</t>
      </text>
    </comment>
    <comment authorId="0" ref="DC22">
      <text>
        <t xml:space="preserve">detecting real faults (see Section 5)
</t>
      </text>
    </comment>
    <comment authorId="0" ref="F23">
      <text>
        <t xml:space="preserve">1) fault seeding is mutation testing
2) check jsp column DA and HTML
3) "GUI not sure?" it is true so be sure.
3) sessions are used as test cases, can we count them as test input?
4) not sure for dynamic code analysis. it uses dependence graph not the code--aysubetincan Thu Feb 16 2012 19:42:26 GMT+0200 (Turkey Standard Time)</t>
      </text>
    </comment>
    <comment authorId="0" ref="G23">
      <text>
        <t xml:space="preserve">Is it model-based? They mentioned that they either use use-case models or they reverse engineer source code to construct UML models. WEBMTA, which is used for constructing the graph is also generating models. --Mirshokraie March-20-12 1:12:59 PM</t>
      </text>
    </comment>
    <comment authorId="0" ref="W23">
      <text>
        <t xml:space="preserve">see the PDF link
 --vgarousi Tue Aug 02 2011 10:48:30 GMT-0600 (Mountain Daylight Time)</t>
      </text>
    </comment>
    <comment authorId="0" ref="AP23">
      <text>
        <t xml:space="preserve">a methodology to create an adequate test suite from the collected user sessions--user session partitioning. --Mirshokraie Thu 13 Oct 2011 11:40:34 AM PDT</t>
      </text>
    </comment>
    <comment authorId="0" ref="BG23">
      <text>
        <t xml:space="preserve">(i) every service provided by the application should be executed by at least one test case, (ii) every fault-sensitive path need to be exercised by at least one test case. (i) and (ii) =&gt; generating adequate test suits. --Mirshokraie Thu 13 Oct 2011 12:41:15 PM PDT</t>
      </text>
    </comment>
    <comment authorId="0" ref="CO23">
      <text>
        <t xml:space="preserve">Test case should cover service profile and fault intensive paths. --Mirshokraie Thu 13 Oct 2011 02:17:44 PM PDT</t>
      </text>
    </comment>
    <comment authorId="0" ref="DC23">
      <text>
        <t xml:space="preserve">(ii) Conducting a study on an industrial application with natural faults. 
</t>
      </text>
    </comment>
    <comment authorId="0" ref="F24">
      <text>
        <t xml:space="preserve">-Why test automation(AV=x)?
-Why BF=x? maybe only BJ=x
-Why BP=x? I think BV and other=x (other:test suit reduction and concept anaylsis perhaps?)
 --Mirshokraie March-07-12 10:46:55 PM</t>
      </text>
    </comment>
    <comment authorId="0" ref="G24">
      <text>
        <t xml:space="preserve">-(AV=x)using different tools, but in the end test is automated
-BF=x? coverage analysis requires source code and whitebox testing--figure2.
-I agree: Why BP=x? I think BV and other=x (other:test suit reduction and concept anaylsis perhaps?)
 --aysubetincan Fri Mar 23 2012 15:45:46 GMT+0200 (GTB Standard Time)</t>
      </text>
    </comment>
    <comment authorId="0" ref="AP24">
      <text>
        <t xml:space="preserve">Figure 1. General Framework for Testing Web-based Applications</t>
      </text>
    </comment>
    <comment authorId="0" ref="AQ24">
      <text>
        <t xml:space="preserve">a toolset in Figure 2. Current Prototype Framework</t>
      </text>
    </comment>
    <comment authorId="0" ref="AR24">
      <text>
        <t xml:space="preserve">a Concept Analysis model called Lattice</t>
      </text>
    </comment>
    <comment authorId="0" ref="AT24">
      <text>
        <t xml:space="preserve">"process" appears 19 times</t>
      </text>
    </comment>
    <comment authorId="0" ref="CL24">
      <text>
        <t xml:space="preserve">test suit reduction and concept anaylsis  --aysubetincan Fri Mar 23 2012 15:48:11 GMT+0200 (GTB Standard Time)</t>
      </text>
    </comment>
    <comment authorId="0" ref="EB24">
      <text>
        <t xml:space="preserve">a toolset in Figure 2. Current Prototype Framework</t>
      </text>
    </comment>
    <comment authorId="0" ref="F25">
      <text>
        <t xml:space="preserve">Please provide comments where "other" marked.
I'm agree with selected items. --Mirshokraie March-08-12 12:01:49 AM</t>
      </text>
    </comment>
    <comment authorId="0" ref="Q25">
      <text>
        <t xml:space="preserve">paper has tons of acronyms and does not seem to have much novelty
 --vgarousi Tue Aug 02 2011 10:52:09 GMT-0600 (Mountain Daylight Time)</t>
      </text>
    </comment>
    <comment authorId="0" ref="U25">
      <text>
        <t xml:space="preserve">the evaluation part is quite weak
--vgarousi Tue Aug 02 2011 10:53:02 GMT-0600 (Mountain Daylight Time)</t>
      </text>
    </comment>
    <comment authorId="0" ref="AR25">
      <text>
        <t xml:space="preserve">architecture</t>
      </text>
    </comment>
    <comment authorId="0" ref="CY25">
      <text>
        <t xml:space="preserve">no evaluation. showing the architecture only --aysubetincan Tue Oct 11 2011 00:54:40 GMT+0300 (Turkey Daylight Time)</t>
      </text>
    </comment>
    <comment authorId="0" ref="F26">
      <text>
        <t xml:space="preserve">Is it all static? what about dynamic slicing which uses execution traces?
 --Mirshokraie March-08-12 2:24:17 AM</t>
      </text>
    </comment>
    <comment authorId="0" ref="AP26">
      <text>
        <t xml:space="preserve">a new test enabler technique </t>
      </text>
    </comment>
    <comment authorId="0" ref="EF26">
      <text>
        <t xml:space="preserve">100+40+69+38+10</t>
      </text>
    </comment>
    <comment authorId="0" ref="F27">
      <text>
        <t xml:space="preserve">I'm agree with selected items.
 --Mirshokraie Thu 08 Mar 2012 11:35:24 AM PST</t>
      </text>
    </comment>
    <comment authorId="0" ref="AX27">
      <text>
        <t xml:space="preserve">data colletion to show the need to test cookies</t>
      </text>
    </comment>
    <comment authorId="0" ref="CL27">
      <text>
        <t xml:space="preserve">Antirandom testing involves the selection of test-cases to maximize the Cartesian or Hamming distance from all previous test-cases and has been shown effective through a series of empirical evaluations 
 --vgarousi Sun Jan 15 2012 22:37:37 GMT-0700 (Mountain Standard Time)</t>
      </text>
    </comment>
    <comment authorId="0" ref="F28">
      <text>
        <t xml:space="preserve">V: thanks. revised
SUT names: oscommerce2
campcaster
ajchat
shop
hotelBooking
zencart
orangeHRM
spellCheck
addressBook
webChess
schoolMate
phpmyadmin
addressook
php-agenda
airalliance
ecombill
dbguestbook
lesson8
winestore
 --aysubetincan Thu Feb 16 2012 20:47:03 GMT+0200 (Turkey Standard Time)
</t>
      </text>
    </comment>
    <comment authorId="0" ref="AS28">
      <text>
        <t xml:space="preserve">Crawlability metrics</t>
      </text>
    </comment>
    <comment authorId="0" ref="BT28">
      <text>
        <t xml:space="preserve">based on fig 1
 --vgarousi Mon Aug 22 2011 10:23:07 GMT-0600 (Mountain Daylight Time)</t>
      </text>
    </comment>
    <comment authorId="0" ref="CA28">
      <text>
        <t xml:space="preserve">webpage forms</t>
      </text>
    </comment>
    <comment authorId="0" ref="EB28">
      <text>
        <t xml:space="preserve">The discussed Web Application Testing Tool (WATT) is presented in ANOTHER paper --vgarousi Tue Aug 23 2011 08:36:01 GMT-0600 (Mountain Daylight Time)</t>
      </text>
    </comment>
    <comment authorId="0" ref="F29">
      <text>
        <t xml:space="preserve">1)not only unit testing. it also discusses interprocedural data flow, so across units  
V: I changed Integration/BD=x 
2)i think it is not dynamic but static analysis. 
V: Agree. The coverage notion is a bit hard to  classify sometimes, it could be dynamic or static analysis. But it is static analysis here, as you said. 
--aysubetincan Thu Feb 16 2012 23:58:41 GMT+0200 (Turkey Standard Time)</t>
      </text>
    </comment>
    <comment authorId="0" ref="AR29">
      <text>
        <t xml:space="preserve">From paper: "A test model is presented to capture..."</t>
      </text>
    </comment>
    <comment authorId="0" ref="CO29">
      <text>
        <t xml:space="preserve">Def-use pairs are a type of test requirements 
 --vgarousi Tue Aug 23 2011 08:56:58 GMT-0600 (Mountain Daylight Time)</t>
      </text>
    </comment>
    <comment authorId="0" ref="CT29">
      <text>
        <t xml:space="preserve">from paper: "The development of a prototype tool is currently in pro-
gress so as to automate..." 
--vgarousi Tue Aug 23 2011 08:57:43 GMT-0600 (Mountain Daylight Time)</t>
      </text>
    </comment>
    <comment authorId="0" ref="F30">
      <text>
        <t xml:space="preserve">-Why BA=x and not AZ? 
-Why BY=x? Should we consider them as test inputs?
--Mirshokraie Thu 08 Mar 2012 12:44:52 PM PST</t>
      </text>
    </comment>
    <comment authorId="0" ref="G30">
      <text>
        <t xml:space="preserve">model checks navigation. if we consider the navigation only links on client side you're right. if server controls navigation? ok. i checked client --aysubetincan Sun Mar 25 2012 21:12:56 GMT+0300 (Turkey Daylight Time)</t>
      </text>
    </comment>
    <comment authorId="0" ref="CR30">
      <text>
        <t xml:space="preserve">model checking-CTL </t>
      </text>
    </comment>
    <comment authorId="0" ref="F31">
      <text>
        <t xml:space="preserve">need to check test automation. it does concolic testing i.e. runs the tests
--aysubetincan Fri Feb 17 2012 11:41:21 GMT+0200 (Turkey Standard Time)</t>
      </text>
    </comment>
    <comment authorId="0" ref="AP31">
      <text>
        <t xml:space="preserve">A methodology to generate test cases dynamically for executing every branch of an ASP.NET application in order to collect all possible different
HTML outputs and run-time errors. --Mirshokraie October-15-11 10:57:53 AM</t>
      </text>
    </comment>
    <comment authorId="0" ref="AQ31">
      <text>
        <t xml:space="preserve">Called Mamoste </t>
      </text>
    </comment>
    <comment authorId="0" ref="BG31">
      <text>
        <t xml:space="preserve">Generating test cases dynamically to collect all possible different
HTML outputs and run-time errors.
--Mirshokraie October-15-11 11:02:43 AM</t>
      </text>
    </comment>
    <comment authorId="0" ref="BQ31">
      <text>
        <t xml:space="preserve">Detecting HTML output error. In addition, triggering an
event, such as page load or onclick events, and supply
input parameters. This execution is similar to unit testing where a unit is an event handler.
 --Mirshokraie October-15-11 11:07:19 AM</t>
      </text>
    </comment>
    <comment authorId="0" ref="BT31">
      <text>
        <t xml:space="preserve">Mamoste is to be used
on the development side as a white box testing tool.
 --Mirshokraie October-15-11 11:23:15 AM</t>
      </text>
    </comment>
    <comment authorId="0" ref="CG31">
      <text>
        <t xml:space="preserve">From the paper: Our tool, called Mamoste, adapts concolic testing
technique. --Mirshokraie October-15-11 11:25:26 AM</t>
      </text>
    </comment>
    <comment authorId="0" ref="CN31">
      <text>
        <t xml:space="preserve">This technique runs and test the program with bottom element
for all inputs, captures the path constraints exercised
by the run, infers unexplored path constraints, generates
new concrete input values from these constraints with the help of a constraint solver, and loops until
there are no new input values generated or timeout. --Mirshokraie October-15-11 11:29:26 AM</t>
      </text>
    </comment>
    <comment authorId="0" ref="CR31">
      <text>
        <t xml:space="preserve">Capturing path constraints exercised
by the run, inferring unexplored path constraints with the help of constraint solver.</t>
      </text>
    </comment>
    <comment authorId="0" ref="CU31">
      <text>
        <t xml:space="preserve">Note: The tool needs manual instrumentation to catch branch conditions and related to web inputs. --Mirshokraie October-15-11 11:42:29 AM</t>
      </text>
    </comment>
    <comment authorId="0" ref="CY31">
      <text>
        <t xml:space="preserve">From the "Experiment" part of the paper: It increases code coverage by executing
different branches of tested program than manual testing --Mirshokraie October-15-11 12:06:00 PM</t>
      </text>
    </comment>
    <comment authorId="0" ref="DA31">
      <text>
        <t xml:space="preserve">The same subset of components is manually tested to reason about the effectiveness of
Mamoste.
--Mirshokraie October-15-11 12:09:04 PM</t>
      </text>
    </comment>
    <comment authorId="0" ref="EF31">
      <text>
        <t xml:space="preserve">184+354+179+214+276</t>
      </text>
    </comment>
    <comment authorId="0" ref="F32">
      <text>
        <t xml:space="preserve">They have done fault injection as well, thus: shouldn't CG=x too?
 --vgarousi Sun Feb 19 2012 22:05:11 GMT-0700 (Mountain Standard Time)</t>
      </text>
    </comment>
    <comment authorId="0" ref="AP32">
      <text>
        <t xml:space="preserve">a systematic method to characterize the correct behavior of a web application for robustness testing. 
--Mirshokraie October-16-11 9:34:56 AM</t>
      </text>
    </comment>
    <comment authorId="0" ref="AQ32">
      <text>
        <t xml:space="preserve">DoDOM</t>
      </text>
    </comment>
    <comment authorId="0" ref="BJ32">
      <text>
        <t xml:space="preserve">Sequence of DOMs corresponding to the
execution is compared with the sequence of invariant DOMs. They classify the execution as a successful detection if any of
the DOM trees in the sequence exhibits a mismatch with the
corresponding DOM in the invariant sequence. 
--Mirshokraie October-16-11 10:42:07 AM</t>
      </text>
    </comment>
    <comment authorId="0" ref="BL32">
      <text>
        <t xml:space="preserve">Replay web applications and extract their invariants dynamically over DOM</t>
      </text>
    </comment>
    <comment authorId="0" ref="BQ32">
      <text>
        <t xml:space="preserve">at event and DOM level(?) 
--Mirshokraie October-16-11 10:48:19 AM</t>
      </text>
    </comment>
    <comment authorId="0" ref="BW32">
      <text>
        <t xml:space="preserve">Invariants are derived
dynamically by recording a sequence of user interactions with the application and observing the changes to the DOM by
repeatedly replaying the sequence. --Mirshokraie October-16-11 11:08:18 AM</t>
      </text>
    </comment>
    <comment authorId="0" ref="CJ32">
      <text>
        <t xml:space="preserve">The invariants are derived dynamically by recording a sequence of user interactions with the application and observing the changes to the DOM by
repeatedly replaying the sequence. --Mirshokraie October-16-11 11:11:24 AM</t>
      </text>
    </comment>
    <comment authorId="0" ref="CP32">
      <text>
        <t xml:space="preserve">After each event executes, they check the conformance of the resulting DOM to the invariant portions.
A deviation indicates an error. --Mirshokraie October-16-11 11:13:36 AM</t>
      </text>
    </comment>
    <comment authorId="0" ref="DB32">
      <text>
        <t xml:space="preserve">performance overhead</t>
      </text>
    </comment>
    <comment authorId="0" ref="DO32">
      <text>
        <t xml:space="preserve">a small portion implemented as a proxy server. 
--Mirshokraie October-16-11 11:20:43 AM</t>
      </text>
    </comment>
    <comment authorId="0" ref="EF32">
      <text>
        <t xml:space="preserve">499+9647+15603 JS code</t>
      </text>
    </comment>
    <comment authorId="0" ref="F33">
      <text>
        <t xml:space="preserve">1)check BA:tests php code, server side not client
V: yes, you have a sharp eye!
2) SUT Names:Mantis 1.0.0rc2,mambo 4.3.5,utopia news pro
fixed
3) column DJ:27 files-17328 LOC ; 23 files -13248; 6 files 1529 LOC
fixed
--aysubetincan Fri Feb 17 2012 12:08:11 GMT+0200 (Turkey Standard Time)</t>
      </text>
    </comment>
    <comment authorId="0" ref="AQ33">
      <text>
        <t xml:space="preserve">A plugin to phc, an open source PHP compiler front-end</t>
      </text>
    </comment>
    <comment authorId="0" ref="BD33">
      <text>
        <t xml:space="preserve">Concolic testing</t>
      </text>
    </comment>
    <comment authorId="0" ref="BF33">
      <text>
        <t xml:space="preserve">Concolic testing</t>
      </text>
    </comment>
    <comment authorId="0" ref="BG33">
      <text>
        <t xml:space="preserve">Concolic testing</t>
      </text>
    </comment>
    <comment authorId="0" ref="BN33">
      <text>
        <t xml:space="preserve">On PHP code</t>
      </text>
    </comment>
    <comment authorId="0" ref="DC33">
      <text>
        <t xml:space="preserve">Number of test case iterations required to find real defects</t>
      </text>
    </comment>
    <comment authorId="0" ref="EB33">
      <text>
        <t xml:space="preserve">A plugin to phc, an open source PHP compiler front-end</t>
      </text>
    </comment>
    <comment authorId="0" ref="EF33">
      <text>
        <t xml:space="preserve">17,328+13,248+1,529</t>
      </text>
    </comment>
    <comment authorId="0" ref="F34">
      <text>
        <t xml:space="preserve">-I think their evaluation is a bit more than a simple solution proposal.
-I believe it is not fully automated (CD=x and CE=x).
 --Mirshokraie Fri 09 Mar 2012 03:30:16 PM PST</t>
      </text>
    </comment>
    <comment authorId="0" ref="G34">
      <text>
        <t xml:space="preserve">we cannot say it is manual. once there is a model it is automated. --aysubetincan Sun Mar 25 2012 21:25:22 GMT+0300 (Turkey Daylight Time)</t>
      </text>
    </comment>
    <comment authorId="0" ref="EF34">
      <text>
        <t xml:space="preserve">401K+159K+41K
See table 1 in page 2</t>
      </text>
    </comment>
    <comment authorId="0" ref="A35">
      <text>
        <t xml:space="preserve">Nice! "The final taxonomy is publicly available for consultation and editing on a Wiki page."
 --vgarousi Sun Aug 21 2011 18:53:56 GMT-0600 (Mountain Daylight Time)</t>
      </text>
    </comment>
    <comment authorId="0" ref="F35">
      <text>
        <t xml:space="preserve">1) describes faults for both dynamic and static  web apps, so check CJ and CK
fixed
2) utopia: 6 files 1529 LOC same as from the paper 33 
fixed
--aysubetincan Sat Feb 18 2012 21:58:17 GMT+0200 (Turkey Standard Time)</t>
      </text>
    </comment>
    <comment authorId="0" ref="Q35">
      <text>
        <t xml:space="preserve">nice paper. This actually relates to our attribute on "fault model"
--vgarousi Tue Aug 02 2011 11:21:57 GMT-0600 (Mountain Daylight Time)</t>
      </text>
    </comment>
    <comment authorId="0" ref="AU35">
      <text>
        <t xml:space="preserve">a Web Fault Taxonomy </t>
      </text>
    </comment>
    <comment authorId="0" ref="BG35">
      <text>
        <t xml:space="preserve">some mutation testing in the paper
 --vgarousi Sun Aug 21 2011 19:07:23 GMT-0600 (Mountain Daylight Time)</t>
      </text>
    </comment>
    <comment authorId="0" ref="BL35">
      <text>
        <t xml:space="preserve">Fault Taxonomy
</t>
      </text>
    </comment>
    <comment authorId="0" ref="BQ35">
      <text>
        <t xml:space="preserve">see Table 1 in paper
 --vgarousi Sun Aug 21 2011 19:07:51 GMT-0600 (Mountain Daylight Time)</t>
      </text>
    </comment>
    <comment authorId="0" ref="CA35">
      <text>
        <t xml:space="preserve">N/A for this paper
 --vgarousi Sun Aug 21 2011 19:08:08 GMT-0600 (Mountain Daylight Time)</t>
      </text>
    </comment>
    <comment authorId="0" ref="CR35">
      <text>
        <t xml:space="preserve">N/A for this paper
 --vgarousi Sun Aug 21 2011 19:08:29 GMT-0600 (Mountain Daylight Time)</t>
      </text>
    </comment>
    <comment authorId="0" ref="CZ35">
      <text>
        <t xml:space="preserve">see title of paper
 --vgarousi Sun Aug 21 2011 18:51:59 GMT-0600 (Mountain Daylight Time)</t>
      </text>
    </comment>
    <comment authorId="0" ref="EI35">
      <text>
        <t xml:space="preserve">four: PHPAdmin, AjaxAnywhere, ZK - Simply Ajax, Sarissa,
 --vgarousi Sun Aug 21 2011 18:59:58 GMT-0600 (Mountain Daylight Time)</t>
      </text>
    </comment>
    <comment authorId="0" ref="F36">
      <text>
        <t xml:space="preserve">All look good to me
 --vgarousi Tue Feb 21 2012 19:41:29 GMT-0700 (Mountain Standard Time)</t>
      </text>
    </comment>
    <comment authorId="0" ref="Q36">
      <text>
        <t xml:space="preserve">actually, a "Challenge" paper 
it is just 3 pages
--vgarousi Tue Aug 02 2011 11:23:15 GMT-0600 (Mountain Daylight Time)</t>
      </text>
    </comment>
    <comment authorId="0" ref="AZ36">
      <text>
        <t xml:space="preserve">only results
</t>
      </text>
    </comment>
    <comment authorId="0" ref="AP37">
      <text>
        <t xml:space="preserve">The technique generates
tests automatically, uses the tests to detect failures, and minimizes the conditions on the inputs exposing each failure, so that the resulting bug reports are small and useful in finding and fixing the underlying faults. --Mirshokraie October-16-11 4:21:52 PM</t>
      </text>
    </comment>
    <comment authorId="0" ref="AQ37">
      <text>
        <t xml:space="preserve">Apollo 
--Mirshokraie October-16-11 4:22:33 PM</t>
      </text>
    </comment>
    <comment authorId="0" ref="BJ37">
      <text>
        <t xml:space="preserve">Application under test is first executed with an empty input. During each execution, the program is monitored to record path  constraints that capture the outcome of control-flow predicates. The idea is to execute an application on an initial input, and then on additional inputs obtained by
solving constraints derived from exercised control flow path.
--Mirshokraie October-16-11 4:31:13 PM</t>
      </text>
    </comment>
    <comment authorId="0" ref="BK37">
      <text>
        <t xml:space="preserve">For each execution, an oracle determines whether fatal failures or HTML well-formedness failures occur, the latter via use of an HTML validator.</t>
      </text>
    </comment>
    <comment authorId="0" ref="BT37">
      <text>
        <t xml:space="preserve">From the paper: our
technique is white-box...
 --Mirshokraie October-16-11 4:41:27 PM</t>
      </text>
    </comment>
    <comment authorId="0" ref="CG37">
      <text>
        <t xml:space="preserve">It is based on combined concrete and symbolic execution.
 --Mirshokraie October-16-11 4:42:52 PM</t>
      </text>
    </comment>
    <comment authorId="0" ref="CY37">
      <text>
        <t xml:space="preserve">They also measure line coverage. --Mirshokraie October-16-11 4:53:27 PM</t>
      </text>
    </comment>
    <comment authorId="0" ref="DC37">
      <text>
        <t xml:space="preserve">discovering HTML
malformedness faults in PHP applications
they used WDG offline HTML validator: The analysis uses
an HTML validator and covers the whole language standard. They
performed evaluation on a set of applications overlapping with
Minamide’s which presents a static analysis for discovering HTML
malformedness faults in PHP applications. 
--Mirshokraie October-16-11 4:47:57 PM</t>
      </text>
    </comment>
    <comment authorId="0" ref="EF37">
      <text>
        <t xml:space="preserve">1712+4718+8181+16634</t>
      </text>
    </comment>
    <comment authorId="0" ref="F38">
      <text>
        <t xml:space="preserve">I'm agree with selected items. 
--Mirshokraie March-09-12 10:38:39 PM</t>
      </text>
    </comment>
    <comment authorId="0" ref="BT38">
      <text>
        <t xml:space="preserve">HTML source code
 --vgarousi Sun Sep 25 2011 19:06:03 GMT-0600 (Mountain Daylight Time)</t>
      </text>
    </comment>
    <comment authorId="0" ref="CD38">
      <text>
        <t xml:space="preserve">analysis of HTML code
 --vgarousi Sun Sep 25 2011 19:06:19 GMT-0600 (Mountain Daylight Time)</t>
      </text>
    </comment>
    <comment authorId="0" ref="CQ38">
      <text>
        <t xml:space="preserve">test code in TTCN
 --vgarousi Sun Sep 25 2011 19:06:36 GMT-0600 (Mountain Daylight Time)</t>
      </text>
    </comment>
    <comment authorId="0" ref="F39">
      <text>
        <t xml:space="preserve">Test-case Design is based on use cases (a form of requirements). Thus I think it is somewhat criteria-based. 
Why do we have BM=x? BH=x already.
"Manual versus Automated testing": the tool generates tests from use case automatically, so CD=""
There is really no evaluations in the paper.
notes in CM: "if selenium can, yes": I do not think selenium can make AJAX calls. I have used it.
DK=x?
 --vgarousi Tue Feb 21 2012 20:56:28 GMT-0700 (Mountain Standard Time)</t>
      </text>
    </comment>
    <comment authorId="0" ref="G39">
      <text>
        <t xml:space="preserve">for criteria I looked for coverage criteria, requirements need to be human processed. if req is a criteria then please feel free to correct the marking
i agree with your other comments</t>
      </text>
    </comment>
    <comment authorId="0" ref="N39">
      <text>
        <t xml:space="preserve">discuss item
 --amesbah Tue Aug 02 2011 17:16:28 GMT-0700 (PDT)</t>
      </text>
    </comment>
    <comment authorId="0" ref="W39">
      <text>
        <t xml:space="preserve">so shouldn't we include tool papers?
I would say we should.
 --vgarousi Wed Aug 03 2011 16:55:51 GMT-0600 (Mountain Daylight Time)</t>
      </text>
    </comment>
    <comment authorId="0" ref="CQ39">
      <text>
        <t xml:space="preserve">Selenium test code
</t>
      </text>
    </comment>
    <comment authorId="0" ref="EB39">
      <text>
        <t xml:space="preserve">I put this here so that we get the right count for the tools proposed in papers
--vgarousi Tue Feb 21 2012 21:03:23 GMT-0700 (Mountain Standard Time)</t>
      </text>
    </comment>
    <comment authorId="0" ref="F40">
      <text>
        <t xml:space="preserve">Added notes to AU, BV
I wonder why do you think CH should be x? I do not see a manual comparison for the purpose of evaluation 
 --vgarousi Tue Feb 21 2012 21:24:22 GMT-0700 (Mountain Standard Time)</t>
      </text>
    </comment>
    <comment authorId="0" ref="G40">
      <text>
        <t xml:space="preserve">ch=x? there is a manual comparison to asses the learned model. yes, it is not for the purpose of evaluation. so i unchecked.
should this paper not be in this SM, since we checked for evaluations?
 --aysubetincan Mon Mar 26 2012 11:47:15 GMT+0300 (GTB Daylight Time)</t>
      </text>
    </comment>
    <comment authorId="0" ref="BH40">
      <text>
        <t xml:space="preserve">See Section 3.1 Input philosophy
 --vgarousi Tue Feb 21 2012 21:23:59 GMT-0700 (Mountain Standard Time)</t>
      </text>
    </comment>
    <comment authorId="0" ref="CJ40">
      <text>
        <t xml:space="preserve">See Section 3.2 Recording test cases
 --vgarousi Tue Feb 21 2012 21:25:10 GMT-0700 (Mountain Standard Time)</t>
      </text>
    </comment>
    <comment authorId="0" ref="F41">
      <text>
        <t xml:space="preserve">Shouldn't the X under AI be under AD instead?
They also propose a tool called WAM, so should AE=X?
The X under AV better be under AT. It is a Test-case Design approach.
They propose coverage criteria: command-form, and input-parameter. coverage -&gt; AG=X?
 --vgarousi Tue Feb 21 2012 21:36:22 GMT-0700 (Mountain Standard Time)</t>
      </text>
    </comment>
    <comment authorId="0" ref="AP41">
      <text>
        <t xml:space="preserve">a new technique for automatically discovering the interfaces of a web application. It is based on a static analysis algorithm. The technique helps generating test cases. --Mirshokraie March-20-12 1:21:28 PM</t>
      </text>
    </comment>
    <comment authorId="0" ref="BT41">
      <text>
        <t xml:space="preserve">They use source code to derive set of interfaces. Later, they use these set of interfaces for generating test cases. 
--Mirshokraie October-17-11 4:31:44 PM</t>
      </text>
    </comment>
    <comment authorId="0" ref="CO41">
      <text>
        <t xml:space="preserve">They measured coverage for four criteria: basic block, branch, command-form, and input-parameter. coverage 
--Mirshokraie October-17-11 4:42:42 PM</t>
      </text>
    </comment>
    <comment authorId="0" ref="CY41">
      <text>
        <t xml:space="preserve">Coverage for four criteria: basic block, branch, command-form, and input-parameter coverage. --Mirshokraie October-17-11 4:44:59 PM</t>
      </text>
    </comment>
    <comment authorId="0" ref="DE41">
      <text>
        <t xml:space="preserve">They ran spider and wam on subjects, counted the number of interfaces extracted by the two tools, and compared these numbers. They also Manually inspect servlets that showed a
high difference in the number of interfaces discovered by spider
and wam to check the correctness of results.
 --Mirshokraie October-17-11 4:47:52 PM</t>
      </text>
    </comment>
    <comment authorId="0" ref="EF41">
      <text>
        <t xml:space="preserve">19402+ 5415+ 10702+ 5529+ 7164+ 4670+ 16089</t>
      </text>
    </comment>
    <comment authorId="0" ref="EH41">
      <text>
        <t xml:space="preserve">2 student developed --Mirshokraie October-17-11 5:06:49 PM</t>
      </text>
    </comment>
    <comment authorId="0" ref="EJ41">
      <text>
        <t xml:space="preserve">5 commercial --Mirshokraie October-17-11 5:07:05 PM</t>
      </text>
    </comment>
    <comment authorId="0" ref="F42">
      <text>
        <t xml:space="preserve">-Why BE=x? I thought maybe BD instead?
V: done
- for the "technique used", can we choose BP and BR? 
V: yes, good suggestion
 --Mirshokraie March-10-12 2:13:09 AM</t>
      </text>
    </comment>
    <comment authorId="0" ref="BL42">
      <text>
        <t xml:space="preserve">Testability Metrics
   --vgarousi Sun Sep 25 2011 19:13:56 GMT-0600 (Mountain Daylight Time)</t>
      </text>
    </comment>
    <comment authorId="0" ref="BO42">
      <text>
        <t xml:space="preserve">see Section 5.2
"in both client and server-side code"
 --vgarousi Sun Sep 25 2011 19:14:50 GMT-0600 (Mountain Daylight Time)</t>
      </text>
    </comment>
    <comment authorId="0" ref="BT42">
      <text>
        <t xml:space="preserve">JS and HTML code: # of fields, etc
 --vgarousi Sun Sep 25 2011 19:15:21 GMT-0600 (Mountain Daylight Time)</t>
      </text>
    </comment>
    <comment authorId="0" ref="CR42">
      <text>
        <t xml:space="preserve">Testability Measures  
</t>
      </text>
    </comment>
    <comment authorId="0" ref="CU42">
      <text>
        <t xml:space="preserve">Web Application Testability Tool (WATT)
 --vgarousi Sun Sep 25 2011 19:16:40 GMT-0600 (Mountain Daylight Time)</t>
      </text>
    </comment>
    <comment authorId="0" ref="EK42">
      <text>
        <t xml:space="preserve">although the authors say explicitly in:
Crawlability metrics for automated web testing
that that paper is the extended version of this one, the two papers are a bit different. we should include both of them
 --vgarousi Tue Aug 23 2011 07:45:43 GMT-0600 (Mountain Daylight Time)</t>
      </text>
    </comment>
    <comment authorId="0" ref="F43">
      <text>
        <t xml:space="preserve">All good
 --vgarousi Tue Feb 21 2012 22:07:35 GMT-0700 (Mountain Standard Time)</t>
      </text>
    </comment>
    <comment authorId="0" ref="AU43">
      <text>
        <t xml:space="preserve">A comparison study
This paper explores three different strategies to integrate
the use of program coverage-based requirements and usage-based requirements in relation to test suite reduction. 
-Mirshokraie October-18-11 12:09:48 AM</t>
      </text>
    </comment>
    <comment authorId="0" ref="BL43">
      <text>
        <t xml:space="preserve">test suite reduction. 
--Mirshokraie October-18-11 12:13:05 AM</t>
      </text>
    </comment>
    <comment authorId="0" ref="BU43">
      <text>
        <t xml:space="preserve">program coverage-based requirements and
usage-based requirements. --Mirshokraie October-18-11 1:22:50 AM</t>
      </text>
    </comment>
    <comment authorId="0" ref="CJ43">
      <text>
        <t xml:space="preserve">Original suite is replayed and the datastore state after
each session is stored. When the corresponding session appears in the reduced suite, the state of the application is
restored to the state before the current session.
 --Mirshokraie October-18-11 2:17:02 AM</t>
      </text>
    </comment>
    <comment authorId="0" ref="CR43">
      <text>
        <t xml:space="preserve">reduced test suite</t>
      </text>
    </comment>
    <comment authorId="0" ref="CZ43">
      <text>
        <t xml:space="preserve">Manually seeding faults which are exercised specifically by a reduced suite from a given requirement. 
From the paper: We use the struct oracle comparator, which compares the structure of the output HTML pages.
From the paper: Method-adequacy, the least expensive program coverage adequacy measure, was used in our experiments. --Mirshokraie October-18-11 1:53:11 AM</t>
      </text>
    </comment>
    <comment authorId="0" ref="F44">
      <text>
        <t xml:space="preserve">-Can't we choose AX? (invariants as oracles?)
V: you are right. changed
-Can we also choose BK?
V: yes. "Fig. 1. An inferred state-ﬂow graph"
-in addition to TUDU, Coachjezelf has also been used in the evaluation for revealing real-life bugs. TheOrganizer, TaskFreak, Tunnel, and HitList have been used to assess the extent of meaningful
invariants that can be obtained for AJAX applications.  
- --Mirshokraie March-10-12 1:38:35 PM</t>
      </text>
    </comment>
    <comment authorId="0" ref="AQ44">
      <text>
        <t xml:space="preserve">called Atusa
 --vgarousi Thu Sep 22 2011 07:41:11 GMT-0600 (Mountain Daylight Time)</t>
      </text>
    </comment>
    <comment authorId="0" ref="AR44">
      <text>
        <t xml:space="preserve">Crawljax is used to buid a test model of the DOM states (State-Flow Graph)
--vgarousi Thu Sep 22 2011 07:41:39 GMT-0600 (Mountain Daylight Time)</t>
      </text>
    </comment>
    <comment authorId="0" ref="AY44">
      <text>
        <t xml:space="preserve">they do 3 comprehensive case studies
 --vgarousi Thu Sep 22 2011 07:48:40 GMT-0600 (Mountain Daylight Time)</t>
      </text>
    </comment>
    <comment authorId="0" ref="BF44">
      <text>
        <t xml:space="preserve">Dynamic Verification is done before testing to derive the test model (State-Flow Graph)
--vgarousi Thu Sep 22 2011 07:49:12 GMT-0600 (Mountain Daylight Time)</t>
      </text>
    </comment>
    <comment authorId="0" ref="BG44">
      <text>
        <t xml:space="preserve">they say: 
"the test model is used to execute different paths to cover the state machine in different ways. "
 --vgarousi Thu Sep 22 2011 07:51:28 GMT-0600 (Mountain Daylight Time)</t>
      </text>
    </comment>
    <comment authorId="0" ref="BI44">
      <text>
        <t xml:space="preserve">they automatically create JUnit test code</t>
      </text>
    </comment>
    <comment authorId="0" ref="BK44">
      <text>
        <t xml:space="preserve">invariants as oracles</t>
      </text>
    </comment>
    <comment authorId="0" ref="BW44">
      <text>
        <t xml:space="preserve">crawled</t>
      </text>
    </comment>
    <comment authorId="0" ref="BY44">
      <text>
        <t xml:space="preserve">Fig. 1. An inferred state-ﬂow graph</t>
      </text>
    </comment>
    <comment authorId="0" ref="CP44">
      <text>
        <t xml:space="preserve">based on invariants
 --vgarousi Sun Sep 25 2011 19:21:21 GMT-0600 (Mountain Daylight Time)</t>
      </text>
    </comment>
    <comment authorId="0" ref="CQ44">
      <text>
        <t xml:space="preserve">JUnit test code is created automatically
  --vgarousi Sun Sep 25 2011 19:21:01 GMT-0600 (Mountain Daylight Time)</t>
      </text>
    </comment>
    <comment authorId="0" ref="DC44">
      <text>
        <t xml:space="preserve">they do a good job in it:
They have a RQ on "fault revealing capability and effectiveness"
and performance/scalability
</t>
      </text>
    </comment>
    <comment authorId="0" ref="EC44">
      <text>
        <t xml:space="preserve">part of http://crawljax.com/download/
 --vgarousi Sun Sep 25 2011 19:23:47 GMT-0600 (Mountain Daylight Time)</t>
      </text>
    </comment>
    <comment authorId="0" ref="EF44">
      <text>
        <t xml:space="preserve">12K+11580 Tudo
+10,000 Coachjezelf
</t>
      </text>
    </comment>
    <comment authorId="0" ref="EI44">
      <text>
        <t xml:space="preserve">TheOrganizer
TaskFreak
HitList
TheTunnel
TUDU 12KLOC Java/JSP, 3K forms
 --vgarousi Sun Sep 25 2011 19:28:42 GMT-0600 (Mountain Daylight Time)</t>
      </text>
    </comment>
    <comment authorId="0" ref="EJ44">
      <text>
        <t xml:space="preserve">Coachjezelf
 --vgarousi Sun Sep 25 2011 19:29:09 GMT-0600 (Mountain Daylight Time)</t>
      </text>
    </comment>
    <comment authorId="0" ref="F45">
      <text>
        <t xml:space="preserve">The research facet could be AL: 3-Evaluation Research, since the evaluation is quite comprehensive.
Since fault seeding is done, CG=x, CI=""
They say: ""we modified the Perl scripts that generated web pages and we added a server-side...", thus "Web-server-tier Web Technology" = Perl
And they say "Javascript event handlers" ni p.16, so Client-tier Web Technology = Javascript 
 --vgarousi Sat Feb 25 2012 15:26:28 GMT-0700 (Mountain Standard Time)</t>
      </text>
    </comment>
    <comment authorId="0" ref="AP45">
      <text>
        <t xml:space="preserve">From the paper: We have presented a new approach for testing web applications and several techniques for implementing that approach. These new techniques differ from existing techniques in that they leverage captured user behavior to generate test cases. 
--Mirshokraie October-18-11 11:23:20 PM</t>
      </text>
    </comment>
    <comment authorId="0" ref="BD45">
      <text>
        <t xml:space="preserve">They present several techniques for using user session data gathered as users operate web applications to help test those applications from
a functional standpoint. --Mirshokraie October-18-11 11:25:02 PM</t>
      </text>
    </comment>
    <comment authorId="0" ref="BG45">
      <text>
        <t xml:space="preserve">Also, title of Section 3.3 "Integrating User Session and White Box Techniques"
--vgarousi Sat Feb 25 2012 15:27:33 GMT-0700 (Mountain Standard Time)
They propose a testing approach which uses data captured during user sessions to create test cases, potentially reducing the effort involved when test engineers
are required to generate test cases. --Mirshokraie October-18-11 11:29:45 PM</t>
      </text>
    </comment>
    <comment authorId="0" ref="BT45">
      <text>
        <t xml:space="preserve">From the paper: Our results show that user session data can be used to produce test suites more effective overall than those produced by the white-box techniques considered; however,
the faults detected by the two classes of techniques differ, suggesting that the techniques are complementary. --Mirshokraie October-19-11 12:00:42 AM</t>
      </text>
    </comment>
    <comment authorId="0" ref="CE45">
      <text>
        <t xml:space="preserve">for the white-box hybrid approach. 
--Mirshokraie October-19-11 12:05:34 AM</t>
      </text>
    </comment>
    <comment authorId="0" ref="CO45">
      <text>
        <t xml:space="preserve">for the hybrid approaches. --Mirshokraie October-19-11 12:09:52 AM</t>
      </text>
    </comment>
    <comment authorId="0" ref="CY45">
      <text>
        <t xml:space="preserve">percentage of functions and basic blocks. --Mirshokraie October-19-11 12:16:21 AM</t>
      </text>
    </comment>
    <comment authorId="0" ref="CZ45">
      <text>
        <t xml:space="preserve">Fault seeding: activating each of the seeded faults individually and executed each test case, comparing relevant outputs to determine whether that test case revealed that fault. --Mirshokraie March-20-12 1:27:59 PM</t>
      </text>
    </comment>
    <comment authorId="0" ref="F46">
      <text>
        <t xml:space="preserve">agree with selected items.
 --Mirshokraie March-11-12 1:10:33 AM</t>
      </text>
    </comment>
    <comment authorId="0" ref="AP46">
      <text>
        <t xml:space="preserve">model checking (verification) using Alloy, 
 --vgarousi Sun Sep 25 2011 19:54:51 GMT-0600 (Mountain Daylight Time)</t>
      </text>
    </comment>
    <comment authorId="0" ref="AR46">
      <text>
        <t xml:space="preserve">a new model called Abstract Description of Interaction (ADI)
 --vgarousi Sun Sep 25 2011 19:30:18 GMT-0600 (Mountain Daylight Time)</t>
      </text>
    </comment>
    <comment authorId="0" ref="BK46">
      <text>
        <t xml:space="preserve">Oracle in form of OCL rules
 --vgarousi Sun Sep 25 2011 19:55:47 GMT-0600 (Mountain Daylight Time)</t>
      </text>
    </comment>
    <comment authorId="0" ref="BV46">
      <text>
        <t xml:space="preserve">Abstract Description of Interaction (ADI), a type of class diagram
 --vgarousi Sun Sep 25 2011 19:57:29 GMT-0600 (Mountain Daylight Time)</t>
      </text>
    </comment>
    <comment authorId="0" ref="BW46">
      <text>
        <t xml:space="preserve">in form of OCL
 --vgarousi Sun Sep 25 2011 19:57:52 GMT-0600 (Mountain Daylight Time)</t>
      </text>
    </comment>
    <comment authorId="0" ref="CT46">
      <text>
        <t xml:space="preserve">creations of models
 --vgarousi Sun Sep 25 2011 19:58:13 GMT-0600 (Mountain Daylight Time)</t>
      </text>
    </comment>
    <comment authorId="0" ref="CU46">
      <text>
        <t xml:space="preserve">running models using Alloy
 --vgarousi Sun Sep 25 2011 19:58:20 GMT-0600 (Mountain Daylight Time)</t>
      </text>
    </comment>
    <comment authorId="0" ref="F47">
      <text>
        <t xml:space="preserve">1)BX: can add statistical/probablistic due to UMM.in addition to checking BW
done
2)CE: provides Perl scripts for analysis. it is semimanual 
V: checked CE
3)inffered model: UMM
V: BL=x
4) DC or DB. server tech is NA
now, DB=x, DC=''
5) DH: www.seas.smu.edu
fixed
--aysubetincan Wed Feb 22 2012 14:04:06 GMT+0200 (GTB Standard Time)</t>
      </text>
    </comment>
    <comment authorId="0" ref="AR47">
      <text>
        <t xml:space="preserve">statistical testing models: actual usage scenarios and related frequencies
 --vgarousi Sun Sep 25 2011 20:01:28 GMT-0600 (Mountain Daylight Time)</t>
      </text>
    </comment>
    <comment authorId="0" ref="BL47">
      <text>
        <t xml:space="preserve">reliability and statistical testing
 --vgarousi Sun Sep 25 2011 20:06:17 GMT-0600 (Mountain Daylight Time)</t>
      </text>
    </comment>
    <comment authorId="0" ref="BV47">
      <text>
        <t xml:space="preserve">Test cases generated by following state transitions in Unified Markov Models
 --vgarousi Sun Sep 25 2011 20:03:14 GMT-0600 (Mountain Daylight Time)</t>
      </text>
    </comment>
    <comment authorId="0" ref="BX47">
      <text>
        <t xml:space="preserve">Unified Markov Models are generated from logs
 --vgarousi Sun Sep 25 2011 20:03:22 GMT-0600 (Mountain Daylight Time)</t>
      </text>
    </comment>
    <comment authorId="0" ref="BZ47">
      <text>
        <t xml:space="preserve">Unified Markov Models UMM
 --vgarousi Sun Feb 26 2012 18:04:37 GMT-0700 (Mountain Standard Time)</t>
      </text>
    </comment>
    <comment authorId="0" ref="CK47">
      <text>
        <t xml:space="preserve">from state-charts  built manually
 --vgarousi Mon Jan 23 2012 10:38:03 GMT-0700 (Mountain Standard Time)</t>
      </text>
    </comment>
    <comment authorId="0" ref="CO47">
      <text>
        <t xml:space="preserve">paths (sequence of web pages)
 --vgarousi Sun Sep 25 2011 20:07:24 GMT-0600 (Mountain Daylight Time)</t>
      </text>
    </comment>
    <comment authorId="0" ref="DE47">
      <text>
        <t xml:space="preserve">reliability analysis of an actual website: www.seas.smu.edu
</t>
      </text>
    </comment>
    <comment authorId="0" ref="DF47">
      <text>
        <t xml:space="preserve">see the error types in Table 2
 --vgarousi Sun Sep 25 2011 20:08:27 GMT-0600 (Mountain Daylight Time)</t>
      </text>
    </comment>
    <comment authorId="0" ref="F48">
      <text>
        <t xml:space="preserve">I added the model name in AF
They also derive test inputs from their statecharts, so should AT/Test-case Design (Criteria-based)=x too?
Given that BL=X, Why do we have BM=X?
It seems that they have 2 SUT: Base Converter, and A Number Guessing Game
 --vgarousi Sat Feb 25 2012 15:35:11 GMT-0700 (Mountain Standard Time)</t>
      </text>
    </comment>
    <comment authorId="0" ref="G48">
      <text>
        <t xml:space="preserve">BM=X? 2 inputs:spec and   model. models from statechart but specs are not.
 --aysubetincan Mon Mar 26 2012 12:12:15 GMT+0300 (GTB Daylight Time)</t>
      </text>
    </comment>
    <comment authorId="0" ref="AR48">
      <text>
        <t xml:space="preserve">Browser Navigation Model (Section 4)
 --vgarousi Sat Feb 25 2012 15:34:46 GMT-0700 (Mountain Standard Time)</t>
      </text>
    </comment>
    <comment authorId="0" ref="BV48">
      <text>
        <t xml:space="preserve">spec </t>
      </text>
    </comment>
    <comment authorId="0" ref="EB48">
      <text>
        <t xml:space="preserve">They use (do not present) an existing  test tool called G∀ST
(in abstract). --vgarousi Sat Feb 25 2012 15:41:17 GMT-0700 (Mountain Standard Time)</t>
      </text>
    </comment>
    <comment authorId="0" ref="F49">
      <text>
        <t xml:space="preserve">1) SUT: workforce management WFM
done
2)NModel is their tool but presented in [10] not here
done
--aysubetincan Wed Feb 22 2012 14:53:08 GMT+0200 (GTB Standard Time)</t>
      </text>
    </comment>
    <comment authorId="0" ref="AR49">
      <text>
        <t xml:space="preserve">Model-Based Testing
 --vgarousi Sun Sep 25 2011 20:10:14 GMT-0600 (Mountain Daylight Time)</t>
      </text>
    </comment>
    <comment authorId="0" ref="BJ49">
      <text>
        <t xml:space="preserve">a "test harness" is built
 --vgarousi Sun Sep 25 2011 20:15:48 GMT-0600 (Mountain Daylight Time)</t>
      </text>
    </comment>
    <comment authorId="0" ref="EB49">
      <text>
        <t xml:space="preserve">They use NModel 
--vgarousi Sun Feb 26 2012 18:09:26 GMT-0700 (Mountain Standard Time)</t>
      </text>
    </comment>
    <comment authorId="0" ref="EJ49">
      <text>
        <t xml:space="preserve">WorkForce Management (WFM), by Reach-U ltd
 --vgarousi Sun Sep 25 2011 20:13:19 GMT-0600 (Mountain Daylight Time)</t>
      </text>
    </comment>
    <comment authorId="0" ref="F50">
      <text>
        <t xml:space="preserve">Agree
--vgarousi Sat Feb 25 2012 15:44:28 GMT-0700 (Mountain Standard Time)</t>
      </text>
    </comment>
    <comment authorId="0" ref="G50">
      <text>
        <t xml:space="preserve">Can we consider fault severity models as test models? I think test model is a different concept.
With respect to excluding this paper you may want to talk to Ali.
V: you are right. Let's keep things as they are.
 --Mirshokraie March-20-12 1:32:17 PM</t>
      </text>
    </comment>
    <comment authorId="0" ref="AU50">
      <text>
        <t xml:space="preserve">They present two models of fault
severity, human annotation based and automated fault severity predictor, that outperform humans in terms of accurately
predicting the average severity of web application faults. These models can substitute or reinforce humans by prioritizing faults
encountered in web application development and testing. --Mirshokraie October-20-11 12:17:45 AM</t>
      </text>
    </comment>
    <comment authorId="0" ref="BD50">
      <text>
        <t xml:space="preserve">In fact their model can help developers
to focus on bugs that consumers care about.
 --Mirshokraie October-20-11 12:27:31 AM</t>
      </text>
    </comment>
    <comment authorId="0" ref="CA50">
      <text>
        <t xml:space="preserve">There is no test artifact...human annotation based model fault relies on human annotators to label each fault with its respective features. The automated fault severity predictor relies on the same decision tree architecture as the human-dependent model, but approximates the features labels automatically by examining HTML code. --Mirshokraie October-20-11 12:34:24 AM</t>
      </text>
    </comment>
    <comment authorId="0" ref="CL50">
      <text>
        <t xml:space="preserve">N/A
no test artifact to derive... they model fault severity. Consumer-perceived severity is calculated by a manually constructed decision tree that they engineered through an analysis of 300 of the
400 real-world faults chosen at random.
--Mirshokraie October-20-11 12:40:49 AM</t>
      </text>
    </comment>
    <comment authorId="0" ref="DC50">
      <text>
        <t xml:space="preserve">They measure savings associated with their automated tool in terms of the number
of non-severe faults. For the human annotation based model, they compare the model’s performance to that of subjects from their human study. They evaluate the performance of their model by performing some statistical analysis on the data such as calculating Spearman’s Ranking Correlation Coefficient, ANOVA, ...
  --Mirshokraie October-20-11 12:49:52 AM</t>
      </text>
    </comment>
    <comment authorId="0" ref="DG50">
      <text>
        <t xml:space="preserve">These fault models can be used in dynamic or static web sites. --Mirshokraie October-20-11 1:06:55 AM</t>
      </text>
    </comment>
    <comment authorId="0" ref="DM50">
      <text>
        <t xml:space="preserve">The automated tool examines html outputs. --Mirshokraie October-20-11 1:10:56 AM</t>
      </text>
    </comment>
    <comment authorId="0" ref="F51">
      <text>
        <t xml:space="preserve">I put the model names in AF (component interaction model, and Web application transition graph). Are they correct?
BC-BE: Why only Integration testing? Could also be system testing?
BM: Could you also please put in notes area why "Other" Source of information needed to derive Test artifacts?
--vgarousi Sat Feb 25 2012 15:57:14 GMT-0700 (Mountain Standard Time)</t>
      </text>
    </comment>
    <comment authorId="0" ref="AR51">
      <text>
        <t xml:space="preserve">component interaction model, Web application transition graph
 --vgarousi Sat Feb 25 2012 15:57:08 GMT-0700 (Mountain Standard Time)</t>
      </text>
    </comment>
    <comment authorId="0" ref="BY51">
      <text>
        <t xml:space="preserve">transitions:control flow between pages/files  (GTB Daylight Time)</t>
      </text>
    </comment>
    <comment authorId="0" ref="F52">
      <text>
        <t xml:space="preserve">mutation: " introducing errors into the benchmark programs at random."
--aysubetincan Thu Feb 23 2012 18:27:43 GMT+0200 (Turkey Standard Time)</t>
      </text>
    </comment>
    <comment authorId="0" ref="AQ52">
      <text>
        <t xml:space="preserve">Static analysis tool that is capable of reasoning about the flow of control and data in JavaScript web applications.
--Mirshokraie October-20-11 11:54:29 PM</t>
      </text>
    </comment>
    <comment authorId="0" ref="AR52">
      <text>
        <t xml:space="preserve">Modeling both the DOM model of the HTML page and browser API. --Mirshokraie October-20-11 11:52:56 PM</t>
      </text>
    </comment>
    <comment authorId="0" ref="BL52">
      <text>
        <t xml:space="preserve">Static analysis capable
of reasoning precisely about the control flow and data flow in
JavaScript applications that run in a browser environment. The analysis is capable of (1) showing absence of common programming errors (2) help detecting potential errors,
such as misspelled property names (3) precise computed call
graphs(4) precise computed types (5) identifying dead code and unreachable functions. These
formation can give a foundation for providing better tool
support for JavaScript web application developers.
--Mirshokraie October-21-11 12:11:20 AM</t>
      </text>
    </comment>
    <comment authorId="0" ref="BV52">
      <text>
        <t xml:space="preserve">control and data flow graph, modeling html DOM and events --Mirshokraie October-21-11 12:51:30 AM</t>
      </text>
    </comment>
    <comment authorId="0" ref="CD52">
      <text>
        <t xml:space="preserve">from HTML element object hierarchy and the event-driven execution model. 
--Mirshokraie October-21-11 1:26:09 AM</t>
      </text>
    </comment>
    <comment authorId="0" ref="CK52">
      <text>
        <t xml:space="preserve">from HTML element object hierarchy and the event-driven execution model. 
--Mirshokraie October-21-11 1:26:09 AM</t>
      </text>
    </comment>
    <comment authorId="0" ref="CO52">
      <text>
        <t xml:space="preserve">flow of control and
data --Mirshokraie October-21-11 1:28:49 AM</t>
      </text>
    </comment>
    <comment authorId="0" ref="DC52">
      <text>
        <t xml:space="preserve">1) analysis precision: to what extent can the analysis show the absence of errors in real programs
2) help in finding errors: introducing errors into the benchmark programs at random. Run the analysis repeatedly and manually inspect
whether each spelling error results in a warning by the analysis tool and how "useful" this warning is.
3) call graph precision: calculating the ratio of call sites with a single invocation target compared to the total
number of call sites.
4) inferred types precision: calculating the average number of different types for all property read operations.
5) identifying dead or unreachable code
--Mirshokraie October-21-11 1:34:23 AM</t>
      </text>
    </comment>
    <comment authorId="0" ref="DR52">
      <text>
        <t xml:space="preserve">Implemented in Java and
uses the JavaScript parser from the Mozilla Rhino project. --Mirshokraie October-21-11 1:47:55 AM</t>
      </text>
    </comment>
    <comment authorId="0" ref="EF52">
      <text>
        <t xml:space="preserve">between 100 and 3000
53*(AVG, 100, 3000)</t>
      </text>
    </comment>
    <comment authorId="0" ref="F53">
      <text>
        <t xml:space="preserve">1)why BH is marked? other column could be marked 
2) check BY: created test inputs automatically by solving the contraints-
3) check manual comparison
-aysubetincan Thu Feb 23 2012 23:57:19 GMT+0200 (Turkey Standard Time)</t>
      </text>
    </comment>
    <comment authorId="0" ref="W53">
      <text>
        <t xml:space="preserve">
"testing" appears 77 times in the paper. The proposed tool also generates test suites. See abstract.
Also, they do "CONCRETE AND SYMBOLIC
EXECUTION"
 --vgarousi Wed Aug 03 2011 16:52:06 GMT-0600 (Mountain Daylight Time)</t>
      </text>
    </comment>
    <comment authorId="0" ref="AP53">
      <text>
        <t xml:space="preserve">Several fault localization techniques have been implemented that combine variations on Tarantula algorithm with the use of the output mapping. It is  a fully automated tool for failure detection
and fault localization for Web applications written in PHP. --Mirshokraie October-26-11 1:33:50 AM</t>
      </text>
    </comment>
    <comment authorId="0" ref="AQ53">
      <text>
        <t xml:space="preserve">Apollo --Mirshokraie October-26-11 1:35:33 AM</t>
      </text>
    </comment>
    <comment authorId="0" ref="BG53">
      <text>
        <t xml:space="preserve">rely on combined concrete and symbolic
execution to generate a large number of passing and failing test cases.
--Mirshokraie October-26-11 1:55:29 AM</t>
      </text>
    </comment>
    <comment authorId="0" ref="BJ53">
      <text>
        <t xml:space="preserve">execute an application on some initial (e.g., empty or randomly chosen) input, and then on additional inputs obtained by solving constraints derived from exercised control flow paths. Failures that occur during these executions are reported
to the user.</t>
      </text>
    </comment>
    <comment authorId="0" ref="BN53">
      <text>
        <t xml:space="preserve">From the paper: We present the first fully automatic tool that finds and localizes malformed HTML errors in Web
applications that execute PHP code on the server side. --Mirshokraie October-26-11 2:02:14 AM</t>
      </text>
    </comment>
    <comment authorId="0" ref="CA53">
      <text>
        <t xml:space="preserve">Using a constraint solver to find a concrete input that satisfies a path constraint from the selected test (the criteria of selecting tests from the queue prefers tests that will
cover additional code)</t>
      </text>
    </comment>
    <comment authorId="0" ref="CG53">
      <text>
        <t xml:space="preserve">combined concrete and symbolic execution. --Mirshokraie October-26-11 2:28:59 AM</t>
      </text>
    </comment>
    <comment authorId="0" ref="CN53">
      <text>
        <t xml:space="preserve">Creating new test inputs by solving path constraint. New tests for each transition not explored before will be added (control-flow paths are exercised). --Mirshokraie March-20-12 1:44:18 PM</t>
      </text>
    </comment>
    <comment authorId="0" ref="DA53">
      <text>
        <t xml:space="preserve">Manually localizing faults --Mirshokraie October-26-11 2:47:26 AM</t>
      </text>
    </comment>
    <comment authorId="0" ref="DC53">
      <text>
        <t xml:space="preserve">Research questions are (i) How effective is the Tarantula fault localization technique
in the domain of PHP web applications?
(ii) How effective is Tarantula, when combined with the use of an output mapping and/or when modeling the outcome of conditional expressions.
--- 
Using html validator as an oracle, manually localizing faults for investigating the effectiveness of the automatic fault localization technique, devising a patch for each fault and ensuring that applying this patch fixes the problem (by running the tests again, and making sure that the associated failures did not recur).
--Mirshokraie October-26-11 2:47:54 AM</t>
      </text>
    </comment>
    <comment authorId="0" ref="EF53">
      <text>
        <t xml:space="preserve">734+ 2226+ 4263+ 13879</t>
      </text>
    </comment>
    <comment authorId="0" ref="F54">
      <text>
        <t xml:space="preserve">tech is JSP and servlets,not Java. check coloumn BA not AZ --aysubetincan Fri Feb 24 2012 00:42:33 GMT+0200 (Turkey Standard Time)</t>
      </text>
    </comment>
    <comment authorId="0" ref="AU54">
      <text>
        <t xml:space="preserve">quality assurance technique for web applications-- a new approach for
interface identification that is based on symbolic execution. The approach uses symbolic values to precisely model input parameters to the web application and identify their domain constraints. --Mirshokraie October-28-11 1:47:12 AM</t>
      </text>
    </comment>
    <comment authorId="0" ref="BL54">
      <text>
        <t xml:space="preserve">the focus of the paper is on interface identification, however they also show that the set of identified interfaces can improve test input generation in terms of coverage and size. Moreover, they show that it can improve penetration testing, as well as invocation verification.  --Mirshokraie October-28-11 1:50:42 AM</t>
      </text>
    </comment>
    <comment authorId="0" ref="BQ54">
      <text>
        <t xml:space="preserve">Coverage: basic block, branch, and database command form (it can be used to improve the test input generation). --Mirshokraie October-28-11 1:55:08 AM</t>
      </text>
    </comment>
    <comment authorId="0" ref="CN54">
      <text>
        <t xml:space="preserve">to show how the identified interfaces can improve test input generation (in evaluation section), they generate test
cases by solving the constraints in each interface domain constraint (IDC) using constraint solver. they use the
values in the solution as test inputs. --Mirshokraie October-28-11 2:09:59 AM</t>
      </text>
    </comment>
    <comment authorId="0" ref="CR54">
      <text>
        <t xml:space="preserve">They generate test suites using application's interface information obtained from the proposed technique.
 --Mirshokraie October-28-11 1:59:29 AM</t>
      </text>
    </comment>
    <comment authorId="0" ref="CU54">
      <text>
        <t xml:space="preserve">set of accepted user interfaces are obtained automatically. Next, to show how it can improve test input generation (in evaluation section), they generate test
cases by solving the constraints in each interface domain constraint (IDC) using constraint solver. they use the
values in the solution as test inputs. --Mirshokraie October-28-11 2:05:45 AM</t>
      </text>
    </comment>
    <comment authorId="0" ref="CY54">
      <text>
        <t xml:space="preserve">To monitor basic-block and branch coverage,
Cobertura is used and to measure command-form coverage Ditto is used. --Mirshokraie October-28-11 2:26:04 AM</t>
      </text>
    </comment>
    <comment authorId="0" ref="DA54">
      <text>
        <t xml:space="preserve">For penetration testing they manually inspected the code. --Mirshokraie October-28-11 2:28:59 AM</t>
      </text>
    </comment>
    <comment authorId="0" ref="DB54">
      <text>
        <t xml:space="preserve">They compare their approach against three other techniques, wam-df, spider, and dfw. 
They evaluate (i) Efficiency: time requirements
(ii) precision
(iii) usefullness: Invocation Verication, Penetration Testing (SQLMap has been used), test input generation (coverage)
   --Mirshokraie October-28-11 2:20:20 AM</t>
      </text>
    </comment>
    <comment authorId="0" ref="EF54">
      <text>
        <t xml:space="preserve">19402+ 10759+ 5529+ 7164</t>
      </text>
    </comment>
    <comment authorId="0" ref="F55">
      <text>
        <t xml:space="preserve">AI: Wouldn't "Test Case Prioritization" be a new Test method / technique (AD=X and AI=0)?
The evaluation is rigorous. So I think it deserves AK or even AL.
Shouldn't AQ=x? (Test Case Prioritization)
I added "Test Case Prioritization" to AY notes
BJ=x? BM=""? From title: *User-session-based* Test Cases for Web Applications Testing
I think we can write "Test case order" in CC
CR=x?
We have put in DI: 18,015=7615+9401+999 (from Table 6)
 --vgarousi Sat Feb 25 2012 16:06:17 GMT-0700 (Mountain Standard Time)</t>
      </text>
    </comment>
    <comment authorId="0" ref="AP55">
      <text>
        <t xml:space="preserve">prioritize existing test suite 
</t>
      </text>
    </comment>
    <comment authorId="0" ref="CL55">
      <text>
        <t xml:space="preserve">6 Test Case Prioritization Strategies have been proposed (page 3)
 --vgarousi Mon Jan 23 2012 10:40:04 GMT-0700 (Mountain Standard Time)</t>
      </text>
    </comment>
    <comment authorId="0" ref="CR55">
      <text>
        <t xml:space="preserve">Test case order</t>
      </text>
    </comment>
    <comment authorId="0" ref="F56">
      <text>
        <t xml:space="preserve">1) BF and BK: DOM can count as source  code or infferred model at least.
fixed
2) creates test cases  (column BY) and test code
fixed
3) check cp: javascript
fixed
4) check DB:NA
fixed
--aysubetincan Fri Feb 24 2012 00:52:36 GMT+0200 (Turkey Standard Time)</t>
      </text>
    </comment>
    <comment authorId="0" ref="AR56">
      <text>
        <t xml:space="preserve">state model extracted from Document Object Model (DOM)
 --vgarousi Thu Sep 29 2011 16:10:36 GMT-0600 (Mountain Daylight Time)</t>
      </text>
    </comment>
    <comment authorId="0" ref="BK56">
      <text>
        <t xml:space="preserve">Visualizations of test failure
 --vgarousi Thu Sep 29 2011 16:02:01 GMT-0600 (Mountain Daylight Time)</t>
      </text>
    </comment>
    <comment authorId="0" ref="BY56">
      <text>
        <t xml:space="preserve">Model is called inferred State-ﬂow Graph
 --vgarousi Thu Sep 29 2011 16:03:17 GMT-0600 (Mountain Daylight Time)</t>
      </text>
    </comment>
    <comment authorId="0" ref="DA56">
      <text>
        <t xml:space="preserve">effectiveness: false positives and false negatives in our case studies, automation ratio, scalablility, </t>
      </text>
    </comment>
    <comment authorId="0" ref="DE56">
      <text>
        <t xml:space="preserve">effectiveness: false positives and false negatives in our case studies, automation ratio, scalablility, </t>
      </text>
    </comment>
    <comment authorId="0" ref="EF56">
      <text>
        <t xml:space="preserve">7615+9401</t>
      </text>
    </comment>
    <comment authorId="0" ref="EG56">
      <text>
        <t xml:space="preserve">these numbers were 1 row above, they were misplaced. --aysubetincan Tue Nov 01 2011 00:05:06 GMT+0200 (Turkey Standard Time)</t>
      </text>
    </comment>
    <comment authorId="0" ref="EI56">
      <text>
        <t xml:space="preserve">HitList
 --vgarousi Thu Sep 29 2011 16:06:32 GMT-0600 (Mountain Daylight Time)</t>
      </text>
    </comment>
    <comment authorId="0" ref="EJ56">
      <text>
        <t xml:space="preserve">Google Reader
 --vgarousi Thu Sep 29 2011 16:06:49 GMT-0600 (Mountain Daylight Time)</t>
      </text>
    </comment>
    <comment authorId="0" ref="F57">
      <text>
        <t xml:space="preserve">I added the info about the tools to AE
I think BK=x, and BL=x
since they crawl the FSMs both manually and automatically, and BM=''
RE: Section 5.4.1 Fault Seeding, so CG=x
 --vgarousi Sat Feb 25 2012 16:20:19 GMT-0700 (Mountain Standard Time)</t>
      </text>
    </comment>
    <comment authorId="0" ref="AP57">
      <text>
        <t xml:space="preserve">Testing technique for
Rich Internet Applications (RIA) that transforms execution traces of an existing application into executable test cases.
 --Mirshokraie November-03-11 2:46:27 AM</t>
      </text>
    </comment>
    <comment authorId="0" ref="AQ57">
      <text>
        <t xml:space="preserve">a set of tools: CreRIA, CrawlRIA, Test Case Generator, Test Case Reducer and DynaRIA
 --vgarousi Sat Feb 25 2012 16:19:54 GMT-0700 (Mountain Standard Time)</t>
      </text>
    </comment>
    <comment authorId="0" ref="BG57">
      <text>
        <t xml:space="preserve">Real execution traces of an RIA (manually and
artificially obtained) are transformed into executable test cases. FSM provides possible
reference model for reducing the test suite into a smaller
one.
 --Mirshokraie November-03-11 3:20:20 AM</t>
      </text>
    </comment>
    <comment authorId="0" ref="CF57">
      <text>
        <t xml:space="preserve">automatically by the CrawlRIA tool
--Mirshokraie November-03-11 4:19:31 AM</t>
      </text>
    </comment>
    <comment authorId="0" ref="CN57">
      <text>
        <t xml:space="preserve">executable test cases --Mirshokraie November-03-11 4:26:26 AM</t>
      </text>
    </comment>
    <comment authorId="0" ref="CY57">
      <text>
        <t xml:space="preserve">FSM State Coverage, FSM Transition, Javascript function Coverage, Javascript LOC Coverage. They also measure the percentage of faults
detected as well as test suit size. --Mirshokraie November-03-11 4:31:20 AM</t>
      </text>
    </comment>
    <comment authorId="0" ref="F58">
      <text>
        <t xml:space="preserve">-I think we can also choose AI (FSM compression)
-I think it is not fully automated (maybe both
CD and CE ?)
 --Mirshokraie March-11-12 5:23:06 PM</t>
      </text>
    </comment>
    <comment authorId="0" ref="G58">
      <text>
        <t xml:space="preserve">-FSM compression, not test related but we could check AI. can we discuss this via email?
-CD and CE; i send an email to all. after model extraction rest is automated. how should we consider it.
aysubetincan Mon Mar 26 2012 15:46:55 GMT+0300 (GTB Daylight Time)</t>
      </text>
    </comment>
    <comment authorId="0" ref="AP58">
      <text>
        <t xml:space="preserve">FSM compression</t>
      </text>
    </comment>
    <comment authorId="0" ref="CK58">
      <text>
        <t xml:space="preserve">fsm
 --vgarousi Mon Jan 23 2012 10:40:58 GMT-0700 (Mountain Standard Time)</t>
      </text>
    </comment>
    <comment authorId="0" ref="F59">
      <text>
        <t xml:space="preserve">1)check BK: tests created from the state model they build
fixed
2)check CP: javascript  
fixed
3) check DB: NA? SUT has jsp
V: I set DA=x (JSP)
4) SUT: Tudu. 10Kline code including java/jsp and mysql
fixed
5) tool names: FSMinstrumentor, FSMExtractor, FSMTestCaseGenerator
fixed
--aysubetincan Fri Feb 24 2012 01:32:38 GMT+0200 (Turkey Standard Time)</t>
      </text>
    </comment>
    <comment authorId="0" ref="AR59">
      <text>
        <t xml:space="preserve">state model extracted from Document Object Model (DOM)
 --vgarousi Thu Sep 29 2011 16:10:39 GMT-0600 (Mountain Daylight Time)</t>
      </text>
    </comment>
    <comment authorId="0" ref="BI59">
      <text>
        <t xml:space="preserve">"We convert them [test cases] into the XML format required by the Selenium tool"
 --vgarousi Thu Sep 29 2011 16:13:32 GMT-0600 (Mountain Daylight Time)</t>
      </text>
    </comment>
    <comment authorId="0" ref="BY59">
      <text>
        <t xml:space="preserve">state models
 --vgarousi Sun Feb 26 2012 18:18:41 GMT-0700 (Mountain Standard Time)</t>
      </text>
    </comment>
    <comment authorId="0" ref="CD59">
      <text>
        <t xml:space="preserve">"We determine the set of methods reacting to events and possibly affecting the DOM by means of a static code analysis. "
 --vgarousi Thu Sep 29 2011 16:12:17 GMT-0600 (Mountain Daylight Time)</t>
      </text>
    </comment>
    <comment authorId="0" ref="EI59">
      <text>
        <t xml:space="preserve">TUDU
http://tudu.ess.ch/tudu/welcome.action
 --vgarousi Thu Sep 29 2011 16:15:56 GMT-0600 (Mountain Daylight Time)</t>
      </text>
    </comment>
    <comment authorId="0" ref="EK59">
      <text>
        <t xml:space="preserve">Alessandro Marchetto, Paolo Tonella: Using search-based algorithms for Ajax event sequence generation during testing. Empirical Software Engineering 16(1): 103-140 (2011)
 --vgarousi Tue Aug 02 2011 16:15:49 GMT-0600 (Mountain Daylight Time)</t>
      </text>
    </comment>
    <comment authorId="0" ref="F60">
      <text>
        <t xml:space="preserve">Section 6 talks about the implementation of a "analyzer". So I guess they are proposing a no-name! tool, AE=x?
CC: Type of test artifact generated could be: context-free grammar, as a test model
DE: no-name analyzer tool?
 --vgarousi Sat Feb 25 2012 16:36:52 GMT-0700 (Mountain Standard Time)</t>
      </text>
    </comment>
    <comment authorId="0" ref="Q60">
      <text>
        <t xml:space="preserve">it works on Vulnerabilities, but it seems to me that it is from functional nature
--vgarousi Tue Aug 02 2011 16:18:43 GMT-0600 (Mountain Daylight Time)</t>
      </text>
    </comment>
    <comment authorId="0" ref="CR60">
      <text>
        <t xml:space="preserve">context-free grammar </t>
      </text>
    </comment>
    <comment authorId="0" ref="EF60">
      <text>
        <t xml:space="preserve">2224+8085+ 843+ 726+ 462+ 890</t>
      </text>
    </comment>
    <comment authorId="0" ref="F61">
      <text>
        <t xml:space="preserve">They also analyze Ajax Client-side code, so shuold AZ=x?
 --vgarousi Sat Feb 25 2012 16:49:51 GMT-0700 (Mountain Standard Time)</t>
      </text>
    </comment>
    <comment authorId="0" ref="AP61">
      <text>
        <t xml:space="preserve">Static analysis that detects non-deterministic
problems caused by asynchronous calls through Ajax. --Mirshokraie November-04-11 1:37:57 AM</t>
      </text>
    </comment>
    <comment authorId="0" ref="BL61">
      <text>
        <t xml:space="preserve">Formulating problems (due to asynchronous requests) as special cases of data race and atomicity violation problems. 
Creating a buggy pattern (rule) in datalog language and analyse the program against these rules.
--Mirshokraie November-04-11 1:41:42 AM</t>
      </text>
    </comment>
    <comment authorId="0" ref="BQ61">
      <text>
        <t xml:space="preserve">at inconsistency/atomicity violation level, --Mirshokraie November-04-11 1:53:07 AM</t>
      </text>
    </comment>
    <comment authorId="0" ref="CD61">
      <text>
        <t xml:space="preserve">perform static program analysis on the code. --Mirshokraie November-04-11 1:58:04 AM</t>
      </text>
    </comment>
    <comment authorId="0" ref="CR61">
      <text>
        <t xml:space="preserve">They create a Data log rules for detecting inconsistency bugs and atomicity violations. -
-Mirshokraie November-04-11 1:59:52 AM</t>
      </text>
    </comment>
    <comment authorId="0" ref="CU61">
      <text>
        <t xml:space="preserve">From the paper: Our technique is fully automated. --Mirshokraie November-04-11 2:01:43 AM</t>
      </text>
    </comment>
    <comment authorId="0" ref="DA61">
      <text>
        <t xml:space="preserve">manually examining reported bugs to confirm
they are real ones. --Mirshokraie November-04-11 2:05:08 AM</t>
      </text>
    </comment>
    <comment authorId="0" ref="DB61">
      <text>
        <t xml:space="preserve">measuring average analyzing time </t>
      </text>
    </comment>
    <comment authorId="0" ref="EF61">
      <text>
        <t xml:space="preserve">706+ 614+ 2989+ 6542+ 8145+ 5561+ 10960+ 76024+ 6378</t>
      </text>
    </comment>
    <comment authorId="0" ref="EJ61">
      <text>
        <t xml:space="preserve">MSN
 --vgarousi Sun Feb 26 2012 10:23:30 GMT-0700 (Mountain Standard Time)</t>
      </text>
    </comment>
    <comment authorId="0" ref="F62">
      <text>
        <t xml:space="preserve">AE: The tool ReWeb was proposed in an earlier paper [5]. So I think this paper does not propose a tool itself.
For Research Facet, I think it deserved more than 1-Solution Proposal, perhaps 2-Validation Research.
Shouldn't it be AQ:(Functional) Testing instead of Dynamic Verification (analysis)?
DE: ReWeb was proposed in [5]. So I guess we should just put TestWeb in DE.
  --vgarousi Sun Feb 26 2012 10:49:16 GMT-0700 (Mountain Standard Time)</t>
      </text>
    </comment>
    <comment authorId="0" ref="EE62">
      <text>
        <t xml:space="preserve">web site is not valid anymore --aysubetincan Thu Nov 03 2011 21:42:22 GMT+0200 (Turkey Standard Time)</t>
      </text>
    </comment>
    <comment authorId="0" ref="F63">
      <text>
        <t xml:space="preserve">Type of Testing Activity: generating test inputs through perturbing regular expressions, in my opinion, would be under AT instead of AY
Type of the Evaluation Method: From the nice discussion you have put in CI, I think we should also  heck CG and CH
--vgarousi Sun Feb 26 2012 10:59:25 GMT-0700 (Mountain Standard Time)</t>
      </text>
    </comment>
    <comment authorId="0" ref="AP63">
      <text>
        <t xml:space="preserve">an approach, called PIUIVT, to improve the
effectiveness of UIV (user input validation) testing. It
combines the automation of vulnerability scanners of web applications
and the flexibility of proxy-based UIV testing tools. 
--Mirshokraie November-12-11 4:23:03 PM</t>
      </text>
    </comment>
    <comment authorId="0" ref="BD63">
      <text>
        <t xml:space="preserve">vulnerability testing
 --vgarousi Sun Feb 26 2012 10:58:42 GMT-0700 (Mountain Standard Time)</t>
      </text>
    </comment>
    <comment authorId="0" ref="BG63">
      <text>
        <t xml:space="preserve">generating test inputs through perturbing regular expressions
automatically. In order to assess the test result as pass or fail the behavior of a web application is classified into three types: defensive, insensitive, and crashing-- (no Oracle has been used).  --Mirshokraie March-20-12 1:53:56 PM</t>
      </text>
    </comment>
    <comment authorId="0" ref="BQ63">
      <text>
        <t xml:space="preserve">user inpur validation 
--Mirshokraie November-12-11 4:43:34 PM</t>
      </text>
    </comment>
    <comment authorId="0" ref="CA63">
      <text>
        <t xml:space="preserve">perturbing regular expressions</t>
      </text>
    </comment>
    <comment authorId="0" ref="CB63">
      <text>
        <t xml:space="preserve">mapping the input type to a regular expression that defines valid inputs for this type, or constructing a regular expression to define the acceptable input domain of this input field. 
--Mirshokraie November-12-11 4:52:10 PM</t>
      </text>
    </comment>
    <comment authorId="0" ref="CF63">
      <text>
        <t xml:space="preserve">for identifying input type
--Mirshokraie November-12-11 4:51:42 PM</t>
      </text>
    </comment>
    <comment authorId="0" ref="DC63">
      <text>
        <t xml:space="preserve">(i) Assessing the effectiveness of the approach in terms of the ratios of detected vulnerabilities by comparing PIUIVT with web application scanners (Wikto and Paros). (ii) Analyzing generated test inputs
to explain why UIV vulnerabilities can be detected by these test
inputs. Note: vulnerabilities are seeded by the authors, detected vulnerabilities are
checked manually to see whether the test results are correct. (iii) Applying different similarity comparison approaches to HTML pages, comparing LCTS with four other approaches (Word Diff, Line Diff, Char Diff, Char Comp).
--Mirshokraie November-12-11 4:57:54 PM</t>
      </text>
    </comment>
    <comment authorId="0" ref="EF63">
      <text>
        <t xml:space="preserve">excluding Java code embedded in JSP files</t>
      </text>
    </comment>
    <comment authorId="0" ref="F64">
      <text>
        <t xml:space="preserve">I think AF=x, since a test model is also built (called Web graph)
I do not think AI should be x, just because this is a preliminary work.
For BF, the notes area should mention if the model has been extracted automatically, and the answer is yes. From the abstract: "The results show that the approach
automatically builds models containing a limited..."
DE: I moved the list of tools to the notes area  of DE instead, since we wanted to only include the tools "proposed" in each paper, and not the ones proposed earlier used in this paper.
 --vgarousi Sun Feb 26 2012 11:04:23 GMT-0700 (Mountain Standard Time)</t>
      </text>
    </comment>
    <comment authorId="0" ref="AP64">
      <text>
        <t xml:space="preserve">using code mutation to reverse engineer a Web application and build its model which is then used for testing. --Mirshokraie November-11-11 6:16:05 PM</t>
      </text>
    </comment>
    <comment authorId="0" ref="AR64">
      <text>
        <t xml:space="preserve">called web graph. --Mirshokraie March-20-12 2:16:33 PM</t>
      </text>
    </comment>
    <comment authorId="0" ref="BG64">
      <text>
        <t xml:space="preserve">traversing the web graph to extract paths according to coverage criteria. 
--Mirshokraie November-11-11 6:28:07 PM</t>
      </text>
    </comment>
    <comment authorId="0" ref="BH64">
      <text>
        <t xml:space="preserve">using the user reports, collected
during testing, for the refinement phase. 
--Mirshokraie November-11-11 6:28:40 PM</t>
      </text>
    </comment>
    <comment authorId="0" ref="BY64">
      <text>
        <t xml:space="preserve">The approach
automatically builds models containing a limited degree of inaccuracy that can be pruned during the application testing.
--Traversing the web graph to extract paths according to coverage criteria. --Mirshokraie November-11-11 6:50:32 PM</t>
      </text>
    </comment>
    <comment authorId="0" ref="BZ64">
      <text>
        <t xml:space="preserve">using the user reports manually, collected
during the testing phase, to refine the model. --Mirshokraie November-11-11 6:51:39 PM</t>
      </text>
    </comment>
    <comment authorId="0" ref="CL64">
      <text>
        <t xml:space="preserve">applying mutant operators to the code
component, performing
navigation sessions using random input values and user interactions. 
--Mirshokraie November-11-11 6:53:42 PM</t>
      </text>
    </comment>
    <comment authorId="0" ref="CO64">
      <text>
        <t xml:space="preserve">path representing a test case composed of a sequence of Web pages. --Mirshokraie November-11-11 6:57:41 PM</t>
      </text>
    </comment>
    <comment authorId="0" ref="CP64">
      <text>
        <t xml:space="preserve">Authors mentioned that they complete test cases with a set of oracles and input data. To generate them, they use random values which are extracted from log files. They also ask the user help to complete test cases. 
--Mirshokraie November-11-11 6:59:47 PM</t>
      </text>
    </comment>
    <comment authorId="0" ref="CY64">
      <text>
        <t xml:space="preserve">(i) the number of static and dynamically built Web pages compared with the gold standard, (ii) the number of feasible
paths of a test suite. 
--Mirshokraie November-11-11 7:09:11 PM</t>
      </text>
    </comment>
    <comment authorId="0" ref="CZ64">
      <text>
        <t xml:space="preserve">two well known user-choose and random techniques in model-based testing are selected to be compared with. Two types of mutation are also considered, basic and PHP-specific. 
 --Mirshokraie November-11-11 7:45:05 PM</t>
      </text>
    </comment>
    <comment authorId="0" ref="EB64">
      <text>
        <t xml:space="preserve">authors use both WebUml and TestUml which are implemented previously by the themselves
 --vgarousi Sun Feb 26 2012 11:10:06 GMT-0700 (Mountain Standard Time)</t>
      </text>
    </comment>
    <comment authorId="0" ref="EF64">
      <text>
        <t xml:space="preserve">220+ 170+ 1332+ 202+ 492+ 1138+ 1387+ 714+ 7500</t>
      </text>
    </comment>
    <comment authorId="0" ref="F65">
      <text>
        <t xml:space="preserve">CI: You mentioned fault seeding, thus CG=x, CI=''
 --vgarousi Sun Feb 26 2012 11:24:33 GMT-0700 (Mountain Standard Time)</t>
      </text>
    </comment>
    <comment authorId="0" ref="AU65">
      <text>
        <t xml:space="preserve">The authors demonstrate the applicability of the
UniTESK test development technology for testing the client
side functionality of AJAX web applications. UniTESK is a pre-existing industrial model based test development technology.
--Mirshokraie November-07-11 12:37:23 AM</t>
      </text>
    </comment>
    <comment authorId="0" ref="BG65">
      <text>
        <t xml:space="preserve">Specifications are used to determine
the test coverage criteria. Then, test scenarios are developed so that the
chosen test coverage criteria could be achieved during
testing. --Mirshokraie November-07-11 12:40:59 AM</t>
      </text>
    </comment>
    <comment authorId="0" ref="BV65">
      <text>
        <t xml:space="preserve">Requirements to the application behavior are fixed in specifications in the form of pre-conditions and post-conditions
of stimuli and reactions, and invariants of data
types.
 --Mirshokraie November-07-11 12:44:40 AM</t>
      </text>
    </comment>
    <comment authorId="0" ref="CB65">
      <text>
        <t xml:space="preserve">The technique formalizes the requirements using
UniTESK. The tester must represent possible interactions of the client side functionality with its environment as a set of stimuli and reactions. A formal interface of the application under test consisting
of stimuli and reactions is fixed in specifications.
[Requirements to the application behavior are fixed in specifications in the form of pre-conditions and post-conditions
of stimuli and reactions, and invariants of data
types.] --Mirshokraie November-07-11 2:05:43 AM</t>
      </text>
    </comment>
    <comment authorId="0" ref="CO65">
      <text>
        <t xml:space="preserve">Specifications are used to determine
the test coverage criteria.
Next, test scenarios are developed so that the chosen test coverage criteria could be achieved during testing. --Mirshokraie November-07-11 12:54:34 AM</t>
      </text>
    </comment>
    <comment authorId="0" ref="CZ65">
      <text>
        <t xml:space="preserve">collecting Ajax patterns and implementing applications accordingly (by the authors), fault seeding, measure the percentage of faults detected by the technique.  --Mirshokraie March-20-12 2:13:03 PM</t>
      </text>
    </comment>
    <comment authorId="0" ref="DO65">
      <text>
        <t xml:space="preserve">JavaTESK toolkit is used to implement the UniTESK test suite
architecture components and run the test suites developed. The proxy server is implemented using Java. --Mirshokraie November-07-11 2:18:54 AM</t>
      </text>
    </comment>
    <comment authorId="0" ref="ED65">
      <text>
        <t xml:space="preserve">Ajax application for: Explicit Submission,
Periodic Refresh, Submission Throttling,
Predictive Fetch,
Browser-side cache,
Guesstimate, Pseudo-threading, Multi-stage download. --Mirshokraie November-07-11 2:22:44 AM</t>
      </text>
    </comment>
    <comment authorId="0" ref="F66">
      <text>
        <t xml:space="preserve">-Is it fully manual? Are test case generation and execution both fully manual? (I thought we can mark CD and CE together)
V: now, both CD and CE=x
- I think the evaluation may not be as comprehensive as it should be for choosing AL.
V: agree. down graded to AK
 --Mirshokraie March-12-12 1:05:43 AM</t>
      </text>
    </comment>
    <comment authorId="0" ref="AP66">
      <text>
        <t xml:space="preserve">an approach for automated recovery of input validation model from program source code
 --vgarousi Thu Sep 29 2011 16:24:43 GMT-0600 (Mountain Daylight Time)</t>
      </text>
    </comment>
    <comment authorId="0" ref="AR66">
      <text>
        <t xml:space="preserve">CFG and validation ﬂow graph (VFG)
 --vgarousi Thu Sep 29 2011 16:26:14 GMT-0600 (Mountain Daylight Time)</t>
      </text>
    </comment>
    <comment authorId="0" ref="AS66">
      <text>
        <t xml:space="preserve">two coverage criteria for testing input validation
 --vgarousi Thu Sep 29 2011 16:25:03 GMT-0600 (Mountain Daylight Time)</t>
      </text>
    </comment>
    <comment authorId="0" ref="BN66">
      <text>
        <t xml:space="preserve">jsp
 --vgarousi Thu Sep 29 2011 16:32:14 GMT-0600 (Mountain Daylight Time)</t>
      </text>
    </comment>
    <comment authorId="0" ref="CD66">
      <text>
        <t xml:space="preserve">they extract a CFG
 --vgarousi Thu Sep 29 2011 16:32:33 GMT-0600 (Mountain Daylight Time)</t>
      </text>
    </comment>
    <comment authorId="0" ref="CO66">
      <text>
        <t xml:space="preserve">CFP
 --vgarousi Thu Sep 29 2011 16:32:56 GMT-0600 (Mountain Daylight Time)</t>
      </text>
    </comment>
    <comment authorId="0" ref="CZ66">
      <text>
        <t xml:space="preserve">"we seeded 30 input validation errors"
 --vgarousi Thu Sep 29 2011 16:33:57 GMT-0600 (Mountain Daylight Time)</t>
      </text>
    </comment>
    <comment authorId="0" ref="EF66">
      <text>
        <t xml:space="preserve">16 SUTs, see Table 1 of the paper
 --vgarousi Thu Sep 29 2011 16:27:37 GMT-0600 (Mountain Daylight Time)</t>
      </text>
    </comment>
    <comment authorId="0" ref="F67">
      <text>
        <t xml:space="preserve">AE: I put the test tool name in notes
AH: In Figure 1, they talk about Incremental/iterative process model for the development of Web applications, so I think "process" should also be checked
AQ=x?
 --vgarousi Sun Feb 26 2012 11:26:24 GMT-0700 (Mountain Standard Time)</t>
      </text>
    </comment>
    <comment authorId="0" ref="N67">
      <text>
        <t xml:space="preserve">to discuss
 --vgarousi Wed Aug 03 2011 17:17:56 GMT-0600 (Mountain Daylight Time)</t>
      </text>
    </comment>
    <comment authorId="0" ref="W67">
      <text>
        <t xml:space="preserve">This one is a journal version and 2002. The #3- is a conf paper and 2001. So I suggest to include this one and exclude that one.
 --vgarousi Wed Aug 03 2011 17:17:26 GMT-0600 (Mountain Daylight Time)</t>
      </text>
    </comment>
    <comment authorId="0" ref="AQ67">
      <text>
        <t xml:space="preserve">TestWeb
 --vgarousi Sun Feb 26 2012 11:26:17 GMT-0700 (Mountain Standard Time)</t>
      </text>
    </comment>
    <comment authorId="0" ref="F68">
      <text>
        <t xml:space="preserve">- Can we also add AG? (proposed hyperlink and input GUI coverage)
- Can't we choose both AR and AS in addition to AQ?
 --Mirshokraie March-13-12 12:06:14 AM</t>
      </text>
    </comment>
    <comment authorId="0" ref="G68">
      <text>
        <t xml:space="preserve">metric: I fail to see a metric("proposed hyperlink and input GUI coverage") can you explain more or point out a section?
why static analysis? 
 --aysubetincan Mon Mar 26 2012 15:33:07 GMT+0300 (GTB Daylight Time)</t>
      </text>
    </comment>
    <comment authorId="0" ref="W68">
      <text>
        <t xml:space="preserve">more on white box testing
 --vgarousi Wed Aug 03 2011 17:19:33 GMT-0600 (Mountain Daylight Time)</t>
      </text>
    </comment>
    <comment authorId="0" ref="CD68">
      <text>
        <t xml:space="preserve">dependence graph
 --vgarousi Mon Jan 23 2012 10:43:07 GMT-0700 (Mountain Standard Time)</t>
      </text>
    </comment>
    <comment authorId="0" ref="CE68">
      <text>
        <t xml:space="preserve">dataflow
 --vgarousi Mon Jan 23 2012 10:42:59 GMT-0700 (Mountain Standard Time)</t>
      </text>
    </comment>
    <comment authorId="0" ref="CL68">
      <text>
        <t xml:space="preserve">mutation, dataflow, dependence graph
 --vgarousi Mon Jan 23 2012 10:42:40 GMT-0700 (Mountain Standard Time)</t>
      </text>
    </comment>
    <comment authorId="0" ref="EF68">
      <text>
        <t xml:space="preserve">32+101+27+80</t>
      </text>
    </comment>
    <comment authorId="0" ref="F69">
      <text>
        <t xml:space="preserve">- Could you please comment why AS=x for the "focus of the paper", while BP=x for the "technique used"?
- Couldn't we choose BH as well? (decision tables used for selecting test cases)
--Mirshokraie March-13-12 12:26:54 AM</t>
      </text>
    </comment>
    <comment authorId="0" ref="G69">
      <text>
        <t xml:space="preserve">it is dynamic analysis. instrumentation enables catching information at runtime.
you're right not static  analysis as test technique? do you think it is model based or requirement base?
 --aysubetincan Mon Mar 26 2012 15:24:22 GMT+0300 (GTB Daylight Time)</t>
      </text>
    </comment>
    <comment authorId="0" ref="F70">
      <text>
        <t xml:space="preserve">I'm agree with selected items.
 --Mirshokraie March-13-12 12:36:28 AM</t>
      </text>
    </comment>
    <comment authorId="0" ref="F71">
      <text>
        <t xml:space="preserve">1)check AE:testuml is the tool . also webuml (presented elsewhere)
fixed
2)check column AV,AW: "it executes them and generates test results and coverage level reports."
fixed
3)check BK and BG instead of BF:testuml gets a model as input, webuml generates it. reverse enginerring is inferring the model (BK)
fixed
4) check BW
fixed
5)check CB: it is creating test scripts
fixed
6) check both cd and ce: semiautomated
fixed
7) technique used :model based, random walks
8) SUT: same as webuml paper, need to find that paper
it is a toy example
--aysubetincan Fri Feb 24 2012 02:01:55 GMT+0200 (Turkey Standard Time)</t>
      </text>
    </comment>
    <comment authorId="0" ref="AP71">
      <text>
        <t xml:space="preserve">statistical testing and coverage analysis baseed on reverse engineered UML models
 --vgarousi Thu Sep 29 2011 16:35:14 GMT-0600 (Mountain Daylight Time)</t>
      </text>
    </comment>
    <comment authorId="0" ref="AQ71">
      <text>
        <t xml:space="preserve">testuml
 --vgarousi Sun Feb 26 2012 19:20:23 GMT-0700 (Mountain Standard Time)</t>
      </text>
    </comment>
    <comment authorId="0" ref="AR71">
      <text>
        <t xml:space="preserve">reverse engineered UML models
 --vgarousi Thu Sep 29 2011 16:35:22 GMT-0600 (Mountain Daylight Time)</t>
      </text>
    </comment>
    <comment authorId="0" ref="BI71">
      <text>
        <t xml:space="preserve">"it executes them and generates test results and coverage level reports."
 --vgarousi Sun Feb 26 2012 19:21:12 GMT-0700 (Mountain Standard Time)</t>
      </text>
    </comment>
    <comment authorId="0" ref="BJ71">
      <text>
        <t xml:space="preserve">"it executes them and generates test results and coverage level reports."
</t>
      </text>
    </comment>
    <comment authorId="0" ref="BY71">
      <text>
        <t xml:space="preserve">UML models reverse engineered from code
</t>
      </text>
    </comment>
    <comment authorId="0" ref="EE71">
      <text>
        <t xml:space="preserve">a simple example
 --vgarousi Sun Feb 26 2012 19:28:10 GMT-0700 (Mountain Standard Time)</t>
      </text>
    </comment>
    <comment authorId="0" ref="F72">
      <text>
        <t xml:space="preserve">1)AW: execution is in fitnesse,so it does not count
fixed
2)CD and CE: semimanual
fixed
3) SUT: widgets.com. 
fixed
4) CR not CS
fixed
--aysubetincan Fri Feb 24 2012 02:29:30 GMT+0200 (Turkey Standard Time)</t>
      </text>
    </comment>
    <comment authorId="0" ref="AQ72">
      <text>
        <t xml:space="preserve">UCM2FIT
 --vgarousi Thu Sep 29 2011 17:10:44 GMT-0600 (Mountain Daylight Time)</t>
      </text>
    </comment>
    <comment authorId="0" ref="AR72">
      <text>
        <t xml:space="preserve">testing based on Use Case Maps (UCMs)
 --vgarousi Thu Sep 29 2011 16:59:46 GMT-0600 (Mountain Daylight Time)</t>
      </text>
    </comment>
    <comment authorId="0" ref="BG72">
      <text>
        <t xml:space="preserve">paths in Use Case Maps (UCMs)
 --vgarousi Thu Sep 29 2011 17:03:37 GMT-0600 (Mountain Daylight Time)</t>
      </text>
    </comment>
    <comment authorId="0" ref="BI72">
      <text>
        <t xml:space="preserve">using the FitNesse tool
 --vgarousi Thu Sep 29 2011 17:04:36 GMT-0600 (Mountain Daylight Time)</t>
      </text>
    </comment>
    <comment authorId="0" ref="BV72">
      <text>
        <t xml:space="preserve">UCM
 --vgarousi Thu Sep 29 2011 17:05:25 GMT-0600 (Mountain Daylight Time)</t>
      </text>
    </comment>
    <comment authorId="0" ref="CQ72">
      <text>
        <t xml:space="preserve">FitNesse test code
 --vgarousi Thu Sep 29 2011 17:10:06 GMT-0600 (Mountain Daylight Time)</t>
      </text>
    </comment>
    <comment authorId="0" ref="F73">
      <text>
        <t xml:space="preserve">Research Facet: I think a replication study would be under AK
 --vgarousi Sun Feb 26 2012 11:31:10 GMT-0700 (Mountain Standard Time)</t>
      </text>
    </comment>
    <comment authorId="0" ref="AU73">
      <text>
        <t xml:space="preserve">This paper replicated Kallepalli and Tian’s work, showing that,
in contrast to their results, multiple set UMMs (Unified Markov Models) were needed for trustworthy test case generation. 
--Mirshokraie November-11-11 12:03:29 PM</t>
      </text>
    </comment>
    <comment authorId="0" ref="AW73">
      <text>
        <t xml:space="preserve">showing that multiple set UMMs are needed for trustworthy test case generation. --Mirshokraie November-11-11 12:14:47 PM</t>
      </text>
    </comment>
    <comment authorId="0" ref="BG73">
      <text>
        <t xml:space="preserve">using multiple set UMMs for trustworthy
test case generation. --Mirshokraie November-11-11 12:15:17 PM</t>
      </text>
    </comment>
    <comment authorId="0" ref="BV73">
      <text>
        <t xml:space="preserve">Unified Markov Models (UMM)
--Mirshokraie November-11-11 1:08:36 PM</t>
      </text>
    </comment>
    <comment authorId="0" ref="BX73">
      <text>
        <t xml:space="preserve">analyzing server access and error logs to derive navigation patterns. --Mirshokraie November-11-11 1:09:56 PM</t>
      </text>
    </comment>
    <comment authorId="0" ref="CL73">
      <text>
        <t xml:space="preserve">analyzing server access and error logs-- using a probability threshold for selecting the navigation patterns in order to achieve a certain testing coverage level. 
--Mirshokraie November-11-11 12:35:24 PM</t>
      </text>
    </comment>
    <comment authorId="0" ref="CO73">
      <text>
        <t xml:space="preserve">usage scenarios that are represented by UMMs acts as test cases. The navigation patterns that exceed the probability threshold become
the actual test cases.
Testing normally starts
with a high threshold to cover the most frequently visited Web
pages. --Mirshokraie November-11-11 1:05:18 PM</t>
      </text>
    </comment>
    <comment authorId="0" ref="DE73">
      <text>
        <t xml:space="preserve">verifying whether the
UMMs created for the application represented
actual usage patterns. Authors also investigate whether multiple set UMMs are
necessary to model a Web application. They also assess the reliability of the application.</t>
      </text>
    </comment>
    <comment authorId="0" ref="DM73">
      <text>
        <t xml:space="preserve">this paper just replicates the results of the pre-existing approach. Therefore, the server/client side technology is derived from the paper which proposed the approach. --Mirshokraie November-11-11 2:46:51 PM</t>
      </text>
    </comment>
    <comment authorId="0" ref="F74">
      <text>
        <t xml:space="preserve">1)check BK: model extraction reajax 
fixed
--aysubetincan Fri Feb 24 2012 02:50:23 GMT+0200 (Turkey Standard Time)</t>
      </text>
    </comment>
    <comment authorId="0" ref="AQ74">
      <text>
        <t xml:space="preserve">reAJAX: to extract the FSM of an Ajax application
 --vgarousi Thu Sep 29 2011 17:35:25 GMT-0600 (Mountain Daylight Time)</t>
      </text>
    </comment>
    <comment authorId="0" ref="AR74">
      <text>
        <t xml:space="preserve">testing based on FSM
 --vgarousi Thu Sep 29 2011 17:24:56 GMT-0600 (Mountain Daylight Time)</t>
      </text>
    </comment>
    <comment authorId="0" ref="AS74">
      <text>
        <t xml:space="preserve">FSM-based test coverage
 --vgarousi Thu Sep 29 2011 17:25:21 GMT-0600 (Mountain Daylight Time)</t>
      </text>
    </comment>
    <comment authorId="0" ref="BF74">
      <text>
        <t xml:space="preserve">to generate FSM and  execution traces 
 --vgarousi Thu Sep 29 2011 17:30:24 GMT-0600 (Mountain Daylight Time)</t>
      </text>
    </comment>
    <comment authorId="0" ref="EB74">
      <text>
        <t xml:space="preserve">http://selab.fbk.eu/marchetto/tools/ajax/testing1/experimentData.zip
 --vgarousi Thu Sep 29 2011 17:42:14 GMT-0600 (Mountain Daylight Time)</t>
      </text>
    </comment>
    <comment authorId="0" ref="EF74">
      <text>
        <t xml:space="preserve">Two SUTs:
Tudu: 12 KLOC
Oryx: 200 KLOC: Javascript (63 KLOC) and Java (137 KLOC)</t>
      </text>
    </comment>
    <comment authorId="0" ref="F75">
      <text>
        <t xml:space="preserve">- Can we choose AF and AI as well? 
AF -&gt; model including control flow enabled by user operations 
AI -&gt; constraint-based approach for controlling the size of the model.
- Can we mark BP as well? (verifier operates statically on the program's source code)
 --Mirshokraie Tue 13 Mar 2012 11:24:28 AM PDT</t>
      </text>
    </comment>
    <comment authorId="0" ref="AP75">
      <text>
        <t xml:space="preserve">constraint-based approach for controlling the size of the model</t>
      </text>
    </comment>
    <comment authorId="0" ref="BU75">
      <text>
        <t xml:space="preserve">properties are requirements. model is from source code --aysubetincan Sun Nov 13 2011 12:32:57 GMT+0200 (Turkey Standard Time)</t>
      </text>
    </comment>
    <comment authorId="0" ref="F76">
      <text>
        <t xml:space="preserve">Shouldn't (Functional) Testing AQ be x as well?
They also seem to analyze JavaScript, so CP=x?
Web-server-tier Web Technology, DB=x?
In the SUT info, we can perhaps put the examples they have in the paper: Yahoo Auto Classiﬁeds in Section 2.1, the Travelocity site, ...
DM=x?
 --vgarousi Sun Feb 26 2012 11:37:19 GMT-0700 (Mountain Standard Time)</t>
      </text>
    </comment>
    <comment authorId="0" ref="U76">
      <text>
        <t xml:space="preserve">Evaluation is weak. They say: "A detailed description of how VeriWeb performs form analysis, matching and completion, as well as of profile policies and the pro?le-re?nement iterative process, is omitted in this paper."
 --vgarousi Tue Aug 02 2011 16:43:49 GMT-0600 (Mountain Daylight Time)</t>
      </text>
    </comment>
    <comment authorId="0" ref="AQ76">
      <text>
        <t xml:space="preserve">VeriWeb
 --vgarousi Sun Feb 26 2012 11:35:20 GMT-0700 (Mountain Standard Time)</t>
      </text>
    </comment>
    <comment authorId="0" ref="BY76">
      <text>
        <t xml:space="preserve">Navigational model inferred through crawling </t>
      </text>
    </comment>
    <comment authorId="0" ref="F77">
      <text>
        <t xml:space="preserve">I'm agree with selected items. --Mirshokraie Tue 13 Mar 2012 11:31:22 AM PDT</t>
      </text>
    </comment>
    <comment authorId="0" ref="Q77">
      <text>
        <t xml:space="preserve">seems to be an extension of the above paper
 --vgarousi Tue Aug 02 2011 16:45:27 GMT-0600 (Mountain Daylight Time)</t>
      </text>
    </comment>
    <comment authorId="0" ref="DO77">
      <text>
        <t xml:space="preserve">p3: "In this paper, we will consider PHP for the server and Javascript for the
client."</t>
      </text>
    </comment>
    <comment authorId="0" ref="EF77">
      <text>
        <t xml:space="preserve">108+535+702+911+2475+11489+14431+34094+48315+69698+73180</t>
      </text>
    </comment>
    <comment authorId="0" ref="F78">
      <text>
        <t xml:space="preserve">- Can we mark AT as well?
V: right
- Perhaps we can choose BJ as well?
V: yes. added
 --Mirshokraie Tue 13 Mar 2012 12:04:11 PM PDT</t>
      </text>
    </comment>
    <comment authorId="0" ref="AU78">
      <text>
        <t xml:space="preserve">Experimental Comparison Study
</t>
      </text>
    </comment>
    <comment authorId="0" ref="BL78">
      <text>
        <t xml:space="preserve">test suite reduction and 5 types of customized test requirements 
 --vgarousi Fri Sep 30 2011 09:17:47 GMT-0600 (Mountain Daylight Time)</t>
      </text>
    </comment>
    <comment authorId="0" ref="BX78">
      <text>
        <t xml:space="preserve">user-session-based testing</t>
      </text>
    </comment>
    <comment authorId="0" ref="EF78">
      <text>
        <t xml:space="preserve">999+7791+8947+61729
Same as paper "WebVizOr..."
Four SUTs:
Masplas: 999
Book: 7791
CPM: 8947
DSpace: 61729
 --vgarousi Thu Sep 29 2011 17:45:49 GMT-0600 (Mountain Daylight Time)</t>
      </text>
    </comment>
    <comment authorId="0" ref="F79">
      <text>
        <t xml:space="preserve">agree with selected items. --Mirshokraie March-13-12 9:46:12 PM</t>
      </text>
    </comment>
    <comment authorId="0" ref="Q79">
      <text>
        <t xml:space="preserve">Interesting book chapter. 
It adds the the reliability flavor to web testing.
 --vgarousi Tue Aug 02 2011 16:50:30 GMT-0600 (Mountain Daylight Time)</t>
      </text>
    </comment>
    <comment authorId="0" ref="AR79">
      <text>
        <t xml:space="preserve">statistical testing models: actual usage scenarios and related frequencies
 --vgarousi Sun Sep 25 2011 20:01:28 GMT-0600 (Mountain Daylight Time)</t>
      </text>
    </comment>
    <comment authorId="0" ref="BL79">
      <text>
        <t xml:space="preserve">reliability and statistical testing
 --vgarousi Sun Sep 25 2011 20:06:17 GMT-0600 (Mountain Daylight Time)</t>
      </text>
    </comment>
    <comment authorId="0" ref="BV79">
      <text>
        <t xml:space="preserve">Test cases generated by following state transitions in Unified Markov Models
 --vgarousi Sun Sep 25 2011 20:03:14 GMT-0600 (Mountain Daylight Time)</t>
      </text>
    </comment>
    <comment authorId="0" ref="BX79">
      <text>
        <t xml:space="preserve">Unified Markov Models are generated from logs</t>
      </text>
    </comment>
    <comment authorId="0" ref="CK79">
      <text>
        <t xml:space="preserve">from state-charts  built manually 
--vgarousi Sun Sep 25 2011 20:06:55 GMT-0600 (Mountain Daylight Time)</t>
      </text>
    </comment>
    <comment authorId="0" ref="CO79">
      <text>
        <t xml:space="preserve">paths (sequence of web pages)
 --vgarousi Sun Sep 25 2011 20:07:24 GMT-0600 (Mountain Daylight Time)</t>
      </text>
    </comment>
    <comment authorId="0" ref="DE79">
      <text>
        <t xml:space="preserve">reliability analysis of an actual website: www.seas.smu.edu
 --vgarousi Sun Sep 25 2011 20:07:49 GMT-0600 (Mountain Daylight Time)</t>
      </text>
    </comment>
    <comment authorId="0" ref="DF79">
      <text>
        <t xml:space="preserve">see the error types in Table 2
 --vgarousi Sun Sep 25 2011 20:08:27 GMT-0600 (Mountain Daylight Time)</t>
      </text>
    </comment>
    <comment authorId="0" ref="F80">
      <text>
        <t xml:space="preserve">-Isn't it a kind of testing tool (AE) as well?
V: right. modified
 --Mirshokraie Tue 13 Mar 2012 02:05:52 PM PDT</t>
      </text>
    </comment>
    <comment authorId="0" ref="W80">
      <text>
        <t xml:space="preserve">but isn't the tool also supporting test oracles?
 --vgarousi Wed Aug 03 2011 16:48:29 GMT-0600 (Mountain Daylight Time)</t>
      </text>
    </comment>
    <comment authorId="0" ref="AQ80">
      <text>
        <t xml:space="preserve">a tool for Visualization of Automated test Oracles and test results</t>
      </text>
    </comment>
    <comment authorId="0" ref="BK80">
      <text>
        <t xml:space="preserve">a tool for Visualization of Automated test Oracles and test results
 --vgarousi Sat Oct 01 2011 08:50:44 GMT-0600 (Mountain Daylight Time)</t>
      </text>
    </comment>
    <comment authorId="0" ref="BT80">
      <text>
        <t xml:space="preserve">HTML source code
 --vgarousi Sat Oct 01 2011 08:52:17 GMT-0600 (Mountain Daylight Time)</t>
      </text>
    </comment>
    <comment authorId="0" ref="CD80">
      <text>
        <t xml:space="preserve">based on earlier work "Document comparator":
Automated oracle comparators for testing web applications
--vgarousi Sat Oct 01 2011 08:52:50 GMT-0600 (Mountain Daylight Time)</t>
      </text>
    </comment>
    <comment authorId="0" ref="EC80">
      <text>
        <t xml:space="preserve">http://www.eecis.udel.edu/~hiper/webvizor
 --vgarousi Sat Oct 01 2011 08:55:46 GMT-0600 (Mountain Daylight Time)</t>
      </text>
    </comment>
    <comment authorId="0" ref="EF80">
      <text>
        <t xml:space="preserve">999+7791+8947+61729
Same as paper "Web Application Testing with Customized ..."
Four SUTs:
Masplas: 999
Book: 7791
CPM: 8947
DSpace: 61729
 --vgarousi Sat Oct 01 2011 08:56:14 GMT-0600 (Mountain Daylight Time)</t>
      </text>
    </comment>
    <comment authorId="0" ref="F81">
      <text>
        <t xml:space="preserve">- Is it a test method? 
V: right. AD is now removed
--Mirshokraie Tue 13 Mar 2012 01:04:15 PM PDT</t>
      </text>
    </comment>
    <comment authorId="0" ref="U81">
      <text>
        <t xml:space="preserve">I have border line feeling for its evaluation
 --vgarousi Wed Aug 03 2011 17:22:52 GMT-0600 (Mountain Daylight Time)</t>
      </text>
    </comment>
    <comment authorId="0" ref="AQ81">
      <text>
        <t xml:space="preserve">a framework called WIT
 --vgarousi Sat Oct 01 2011 08:57:44 GMT-0600 (Mountain Daylight Time)</t>
      </text>
    </comment>
    <comment authorId="0" ref="CA81">
      <text>
        <t xml:space="preserve">Just a tool for automation of web testing. Assumes test cases have been derived already
 --vgarousi Sat Oct 01 2011 09:01:45 GMT-0600 (Mountain Daylight Time)</t>
      </text>
    </comment>
    <comment authorId="0" ref="CL81">
      <text>
        <t xml:space="preserve">Just a tool for automation of web testing. Assumes test cases have been derived already
 --vgarousi Sat Oct 01 2011 09:01:45 GMT-0600 (Mountain Daylight Time)</t>
      </text>
    </comment>
    <comment authorId="0" ref="DA81">
      <text>
        <t xml:space="preserve">just a usage scenario
 --vgarousi Sat Oct 01 2011 09:02:50 GMT-0600 (Mountain Daylight Time)</t>
      </text>
    </comment>
    <comment authorId="0" ref="EA81">
      <text>
        <t xml:space="preserve">portlet
 --vgarousi Sat Oct 01 2011 09:05:40 GMT-0600 (Mountain Daylight Time)</t>
      </text>
    </comment>
    <comment authorId="0" ref="EC81">
      <text>
        <t xml:space="preserve">http://sourceforge.net/projects/wit-ict/files/wit-ict/
 --vgarousi Sat Oct 01 2011 09:08:12 GMT-0600 (Mountain Daylight Time)</t>
      </text>
    </comment>
  </commentList>
</comments>
</file>

<file path=xl/comments6.xml><?xml version="1.0" encoding="utf-8"?>
<comments xmlns:r="http://schemas.openxmlformats.org/officeDocument/2006/relationships" xmlns="http://schemas.openxmlformats.org/spreadsheetml/2006/main">
  <authors>
    <author/>
  </authors>
  <commentList>
    <comment authorId="0" ref="A334">
      <text>
        <t xml:space="preserve">Based on classification/terminology by Offutt in his book:
http://cs.gmu.edu/~offutt/softwaretest/
 --vgarousi Tue Aug 02 2011 09:45:08 GMT-0600 (Mountain Daylight Time)</t>
      </text>
    </comment>
    <comment authorId="0" ref="A335">
      <text>
        <t xml:space="preserve">From Jeff Offutt: "Design test input values to satisfy coverage criteria or other engineering goal"
 --vgarousi Tue Aug 02 2011 09:46:07 GMT-0600 (Mountain Daylight Time)</t>
      </text>
    </comment>
    <comment authorId="0" ref="A336">
      <text>
        <t xml:space="preserve">From Jeff Offutt: "Design input test values based on domain knowledge of the program and human knowledge of testing
 --vgarousi Tue Aug 02 2011 09:46:17 GMT-0600 (Mountain Daylight Time)</t>
      </text>
    </comment>
    <comment authorId="0" ref="A337">
      <text>
        <t xml:space="preserve">From Jeff Offutt: "Test Automation, 	Embed test values into executable test code (scripts)
 --vgarousi Tue Aug 02 2011 09:46:25 GMT-0600 (Mountain Daylight Time)</t>
      </text>
    </comment>
    <comment authorId="0" ref="A338">
      <text>
        <t xml:space="preserve">From Jeff Offutt: "Run tests on the software and record the results
 --vgarousi Tue Aug 02 2011 09:46:36 GMT-0600 (Mountain Daylight Time)</t>
      </text>
    </comment>
    <comment authorId="0" ref="A339">
      <text>
        <t xml:space="preserve">From Jeff Offutt: "Evaluate results of testing (pass/fail), a.k.a. test verdict, and report results to developers
 --vgarousi Tue Aug 02 2011 09:47:13 GMT-0600 (Mountain Daylight Time)</t>
      </text>
    </comment>
    <comment authorId="0" ref="A433">
      <text>
        <t xml:space="preserve">e.g., use case, UML diagrams, FSM</t>
      </text>
    </comment>
    <comment authorId="0" ref="A434">
      <text>
        <t xml:space="preserve">type: Session or Query Symbolic execution logs
, operational proﬁles</t>
      </text>
    </comment>
    <comment authorId="0" ref="A438">
      <text>
        <t xml:space="preserve">for function, HTML element, global variables </t>
      </text>
    </comment>
    <comment authorId="0" ref="A490">
      <text>
        <t xml:space="preserve">put 1 whenever applicable
MORE THAN ONE can be selected
 --vgarousi Mon Aug 01 2011 14:13:24 GMT-0600 (Mountain Daylight Time)</t>
      </text>
    </comment>
    <comment authorId="0" ref="A494">
      <text>
        <t xml:space="preserve">e.g., in JUnit
 --vgarousi Thu Sep 29 2011 16:03:50 GMT-0600 (Mountain Daylight Time)</t>
      </text>
    </comment>
    <comment authorId="0" ref="A530">
      <text>
        <t xml:space="preserve">of code, model 
--vgarousi Mon Jan 23 2012 10:50:47 GMT-0700 (Mountain Standard Time)</t>
      </text>
    </comment>
    <comment authorId="0" ref="A535">
      <text>
        <t xml:space="preserve">example</t>
      </text>
    </comment>
    <comment authorId="0" ref="A536">
      <text>
        <t xml:space="preserve">should be broken down more
 --vgarousi Fri Nov 11 2011 12:56:19 GMT-0700 (Mountain Standard Time)</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Is the paper relevant to functional Web app testing and analysis (for purpose of verification)?
 --vgarousi Mon Aug 01 2011 16:33:58 GMT-0600 (Mountain Daylight Time)</t>
      </text>
    </comment>
    <comment authorId="0" ref="H1">
      <text>
        <t xml:space="preserve">Is there any evaluation in the paper and whether it is sound? For survey papers, we will not apply this. For technical and experimental ones, we will apply
Check: If there is a newer journal paper of a conference paper, and if the technique has not changed, then just use the journal version.
 --vgarousi Mon Aug 01 2011 16:34:08 GMT-0600 (Mountain Daylight Time)</t>
      </text>
    </comment>
    <comment authorId="0" ref="Q1">
      <text>
        <t xml:space="preserve">C: conferece
J: Journal
W: Workshop
M: Magazine
S: Symposium 
--vgarousi Wed Jul 27 2011 17:01:16 GMT-0600 (Mountain Daylight Time)</t>
      </text>
    </comment>
    <comment authorId="0" ref="X1">
      <text>
        <t xml:space="preserve">Design test input values to satisfy coverage criteria or other engineering goal
 --vgarousi Tue Aug 02 2011 09:46:07 GMT-0600 (Mountain Daylight Time)</t>
      </text>
    </comment>
    <comment authorId="0" ref="Y1">
      <text>
        <t xml:space="preserve">Design input test values based on domain knowledge of the program and human knowledge of testing
 --vgarousi Tue Aug 02 2011 09:46:17 GMT-0600 (Mountain Daylight Time)</t>
      </text>
    </comment>
    <comment authorId="0" ref="Z1">
      <text>
        <t xml:space="preserve">Test Automation, 	Embed test values into executable test code (scripts)
 --vgarousi Tue Aug 02 2011 09:46:25 GMT-0600 (Mountain Daylight Time)</t>
      </text>
    </comment>
    <comment authorId="0" ref="AA1">
      <text>
        <t xml:space="preserve">Run tests on the software and record the results
 --vgarousi Tue Aug 02 2011 09:46:36 GMT-0600 (Mountain Daylight Time)</t>
      </text>
    </comment>
    <comment authorId="0" ref="AB1">
      <text>
        <t xml:space="preserve">Evaluate results of testing (pass/fail), a.k.a. test verdict, and report results to developers
 --vgarousi Tue Aug 02 2011 09:47:13 GMT-0600 (Mountain Daylight Time)</t>
      </text>
    </comment>
    <comment authorId="0" ref="AM1">
      <text>
        <t xml:space="preserve">e.g., use case, UMLdiagrams, FSM
 --vgarousi Mon Aug 01 2011 14:06:25 GMT-0600 (Mountain Daylight Time)</t>
      </text>
    </comment>
    <comment authorId="0" ref="AN1">
      <text>
        <t xml:space="preserve">for function, HTML element, global variables 
 --vgarousi Mon Aug 01 2011 14:06:37 GMT-0600 (Mountain Daylight Time)</t>
      </text>
    </comment>
    <comment authorId="0" ref="AO1">
      <text>
        <t xml:space="preserve">type: Session or Query Symbolic executionlogs
 --vgarousi Mon Aug 01 2011 14:07:08 GMT-0600 (Mountain Daylight Time)</t>
      </text>
    </comment>
    <comment authorId="0" ref="AV1">
      <text>
        <t xml:space="preserve">using OO constructs to derive test cases 
e.g., www.cs.queensu.ca/~shepard/599.dir/petchiny/OOPRESENTATION.ppt
-- vgarousi Mon Aug 01 2011 14:08:48 GMT-0600 (Mountain Daylight Time)</t>
      </text>
    </comment>
    <comment authorId="0" ref="BZ1">
      <text>
        <t xml:space="preserve">Is the paper presenting an Agile (Scrum, TDD, etc.) approach?
 --vgarousi Mon Aug 01 2011 14:20:39 GMT-0600 (Mountain Daylight Time)</t>
      </text>
    </comment>
    <comment authorId="0" ref="T2">
      <text>
        <t xml:space="preserve">survey (neutral vote)</t>
      </text>
    </comment>
  </commentList>
</comments>
</file>

<file path=xl/comments8.xml><?xml version="1.0" encoding="utf-8"?>
<comments xmlns:r="http://schemas.openxmlformats.org/officeDocument/2006/relationships" xmlns="http://schemas.openxmlformats.org/spreadsheetml/2006/main">
  <authors>
    <author/>
  </authors>
  <commentList>
    <comment authorId="0" ref="R17">
      <text>
        <t xml:space="preserve">Alessandro Marchetto, Paolo Tonella: Using search-based algorithms for Ajax event sequence generation during testing. Empirical Software Engineering 16(1): 103-140 (2011)
 --vgarousi Tue Aug 02 2011 16:15:49 GMT-0600 (Mountain Daylight Time)
</t>
      </text>
    </comment>
    <comment authorId="0" ref="C18">
      <text>
        <t xml:space="preserve">They have a journal version of this ICSE paper. "Leveraging User-Session Data to Support Web Application Testing"
 --amesbah Tue Aug 02 2011 17:22:31 GMT-0700 (PDT)</t>
      </text>
    </comment>
    <comment authorId="0" ref="L18">
      <text>
        <t xml:space="preserve">Leveraging User-Session Data to Support Web Application Testing
 --vgarousi Wed Aug 03 2011 16:54:45 GMT-0600 (Mountain Daylight Time)</t>
      </text>
    </comment>
    <comment authorId="0" ref="F19">
      <text>
        <t xml:space="preserve">"test" appears 13 times. This paper is an enabler for testing.
  --vgarousi Tue Aug 02 2011 16:44:42 GMT-0600 (Mountain Daylight Time)</t>
      </text>
    </comment>
    <comment authorId="0" ref="L19">
      <text>
        <t xml:space="preserve">See: Web Application Slicing in Presence of Dynamic Code Generation
 --vgarousi Wed Aug 03 2011 17:20:29 GMT-0600 (Mountain Daylight Time)</t>
      </text>
    </comment>
    <comment authorId="0" ref="L23">
      <text>
        <t xml:space="preserve">So then, Aysu, please vote 1 under criteria 2
 --vgarousi Mon Aug 01 2011 16:35:36 GMT-0600 (Mountain Daylight Time)</t>
      </text>
    </comment>
    <comment authorId="0" ref="J29">
      <text>
        <t xml:space="preserve">V: evaluation is done only using a very trivial example
 --vgarousi Tue Aug 02 2011 06:38:49 GMT-0600 (Mountain Daylight Time)</t>
      </text>
    </comment>
    <comment authorId="0" ref="I30">
      <text>
        <t xml:space="preserve">I can't find a PDF version of the chapter online. --amesbah Tue Aug 02 2011 16:35:09 GMT-0700 (PDT)</t>
      </text>
    </comment>
    <comment authorId="0" ref="J30">
      <text>
        <t xml:space="preserve">I agree with Aysu. Although there are no evalautions, but this is a nice survey
We can even move it to "Related Work/Papers", out of the SLR itself
 --vgarousi Tue Aug 02 2011 06:44:13 GMT-0600 (Mountain Daylight Time)</t>
      </text>
    </comment>
    <comment authorId="0" ref="F31">
      <text>
        <t xml:space="preserve">dynamic analysis has NOT been done for the purpose of verification.
 --vgarousi Tue Aug 02 2011 06:48:06 GMT-0600 (Mountain Daylight Time)</t>
      </text>
    </comment>
    <comment authorId="0" ref="F32">
      <text>
        <t xml:space="preserve">rev. engg is not done for purpose of testing. they present: "a tool prototype supporting WEB ap-
plication reverse engineering activities, to help maintain,
comprehend and evolve WEB applications."
 --vgarousi Tue Aug 02 2011 06:51:36 GMT-0600 (Mountain Daylight Time)</t>
      </text>
    </comment>
    <comment authorId="0" ref="C33">
      <text>
        <t xml:space="preserve">discuss item? --amesbah Tue Aug 02 2011 16:47:19 GMT-0700 (PDT)</t>
      </text>
    </comment>
    <comment authorId="0" ref="J33">
      <text>
        <t xml:space="preserve">the evaluation is rather weak
 --vgarousi Tue Aug 02 2011 07:10:20 GMT-0600 (Mountain Daylight Time)</t>
      </text>
    </comment>
    <comment authorId="0" ref="A34">
      <text>
        <t xml:space="preserve">this seems to be quite duplicate with "A UML-Based Approach to Testing Web Applications" 
self-plagarism?
--vgarousi Tue Aug 02 2011 07:11:26 GMT-0600 (Mountain Daylight Time)</t>
      </text>
    </comment>
    <comment authorId="0" ref="F34">
      <text>
        <t xml:space="preserve">See my comment on paper title
 --vgarousi Tue Aug 02 2011 07:12:43 GMT-0600 (Mountain Daylight Time)</t>
      </text>
    </comment>
    <comment authorId="0" ref="L34">
      <text>
        <t xml:space="preserve">Yes! See my comment on paper title
--vgarousi Tue Aug 02 2011 07:12:04 GMT-0600 (Mountain Daylight Time)</t>
      </text>
    </comment>
    <comment authorId="0" ref="C35">
      <text>
        <t xml:space="preserve">discuss item? --amesbah Tue Aug 02 2011 16:47:11 GMT-0700 (PDT)</t>
      </text>
    </comment>
    <comment authorId="0" ref="F35">
      <text>
        <t xml:space="preserve">based on UML state-charts
 --vgarousi Tue Aug 02 2011 07:13:25 GMT-0600 (Mountain Daylight Time)</t>
      </text>
    </comment>
    <comment authorId="0" ref="L35">
      <text>
        <t xml:space="preserve">Section V. is called CASE STUDY. It is not a full strength case study , but also a bit more than an example!
 --vgarousi Wed Aug 03 2011 17:07:52 GMT-0600 (Mountain Daylight Time)</t>
      </text>
    </comment>
    <comment authorId="0" ref="F36">
      <text>
        <t xml:space="preserve">for Testing Web Prefetching Techniques, not for functional testing of web apps THEMSELVES
--vgarousi Tue Aug 02 2011 07:14:59 GMT-0600 (Mountain Daylight Time)</t>
      </text>
    </comment>
    <comment authorId="0" ref="AA36">
      <text>
        <t xml:space="preserve">Aysu: please put your text in comment box, to save space!:
Design test input values to satisfy coverage criteria or other engineering goal
 --vgarousi Thu Aug 04 2011 15:12:01 GMT-0600 (Mountain Daylight Time)</t>
      </text>
    </comment>
    <comment authorId="0" ref="J37">
      <text>
        <t xml:space="preserve">the evaluation (section 4) is rather weak
 --vgarousi Tue Aug 02 2011 07:17:27 GMT-0600 (Mountain Daylight Time)</t>
      </text>
    </comment>
    <comment authorId="0" ref="C38">
      <text>
        <t xml:space="preserve">discuss item? --amesbah Tue Aug 02 2011 16:46:52 GMT-0700 (PDT)</t>
      </text>
    </comment>
    <comment authorId="0" ref="C40">
      <text>
        <t xml:space="preserve">to discuss
 --vgarousi Tue Aug 02 2011 09:10:09 GMT-0600 (Mountain Daylight Time)</t>
      </text>
    </comment>
    <comment authorId="0" ref="F40">
      <text>
        <t xml:space="preserve">Border line paper. They use static analysis to extract database interactions in web applications. They say that "information on database interactions is useful in testing, understanding and
maintenance of web applications.". This is just indirectly related to testing.
 --vgarousi Tue Aug 02 2011 09:10:17 GMT-0600 (Mountain Daylight Time)</t>
      </text>
    </comment>
    <comment authorId="0" ref="E41">
      <text>
        <t xml:space="preserve">discuss item?
 --amesbah Tue Aug 02 2011 16:51:18 GMT-0700 (PDT)</t>
      </text>
    </comment>
    <comment authorId="0" ref="C43">
      <text>
        <t xml:space="preserve">to discuss
--vgarousi Tue Aug 02 2011 10:07:46 GMT-0600 (Mountain Daylight Time)</t>
      </text>
    </comment>
    <comment authorId="0" ref="F43">
      <text>
        <t xml:space="preserve">This seems to be a nice experience report on using Selenium. They say: "We have been using Selenium on five different web application projects for about a year."
The paper presents several nice guidelines in using Selenium and several Lessons learned.
 --vgarousi Tue Aug 02 2011 10:07:41 GMT-0600 (Mountain Daylight Time)</t>
      </text>
    </comment>
    <comment authorId="0" ref="F44">
      <text>
        <t xml:space="preserve">They say: "The paper aims to provide analysis support by backtracking affected sources from elements within the browser"
This paper is about fault-localization/debugging  (tracking source of defects)
Testing differs from fault-localization/debugging
--vgarousi Tue Aug 02 2011 10:37:23 GMT-0600 (Mountain Daylight Time)</t>
      </text>
    </comment>
    <comment authorId="0" ref="C45">
      <text>
        <t xml:space="preserve">to exclude, we include two papers from the same authors
 --vgarousi Thu Aug 04 2011 14:05:01 GMT-0600 (Mountain Daylight Time)</t>
      </text>
    </comment>
    <comment authorId="0" ref="J46">
      <text>
        <t xml:space="preserve">the evaluation part is quite weak
--vgarousi Tue Aug 02 2011 10:45:42 GMT-0600 (Mountain Daylight Time)</t>
      </text>
    </comment>
    <comment authorId="0" ref="E47">
      <text>
        <t xml:space="preserve">discuss item?
 --amesbah Tue Aug 02 2011 17:05:45 GMT-0700 (PDT)</t>
      </text>
    </comment>
    <comment authorId="0" ref="J47">
      <text>
        <t xml:space="preserve">Section 5 "Conclusions and work-in-progress"
 --vgarousi Thu Aug 04 2011 14:08:21 GMT-0600 (Mountain Daylight Time)</t>
      </text>
    </comment>
    <comment authorId="0" ref="L47">
      <text>
        <t xml:space="preserve">yes, it is a work-in-progress "5. Conclusions and work-in-progress"
However, the proposed concepts are of high quality, e.g,. coverage
 --vgarousi Wed Aug 03 2011 16:57:02 GMT-0600 (Mountain Daylight Time)</t>
      </text>
    </comment>
    <comment authorId="0" ref="C49">
      <text>
        <t xml:space="preserve">to discuss
 --vgarousi Tue Aug 02 2011 11:27:35 GMT-0600 (Mountain Daylight Time)</t>
      </text>
    </comment>
    <comment authorId="0" ref="F49">
      <text>
        <t xml:space="preserve">the word testing appears only 4 times, the paper does not have a major testing focus
--vgarousi Tue Aug 02 2011 11:27:07 GMT-0600 (Mountain Daylight Time)</t>
      </text>
    </comment>
    <comment authorId="0" ref="C50">
      <text>
        <t xml:space="preserve">to discuss, see my comment
 --vgarousi Tue Aug 02 2011 11:30:06 GMT-0600 (Mountain Daylight Time)</t>
      </text>
    </comment>
    <comment authorId="0" ref="E50">
      <text>
        <t xml:space="preserve">I agree with Vahid.
 --amesbah Tue Aug 02 2011 17:19:34 GMT-0700 (PDT)</t>
      </text>
    </comment>
    <comment authorId="0" ref="F50">
      <text>
        <t xml:space="preserve">there is a lot of similarity to other paper "Automating regression testing using web-based application similarities"???
--vgarousi Tue Aug 02 2011 11:29:42 GMT-0600 (Mountain Daylight Time)</t>
      </text>
    </comment>
    <comment authorId="0" ref="F51">
      <text>
        <t xml:space="preserve">the word testing appears only 2 times, the paper does not have any testing focus
--vgarousi Tue Aug 02 2011 11:31:35 GMT-0600 (Mountain Daylight Time)</t>
      </text>
    </comment>
    <comment authorId="0" ref="J52">
      <text>
        <t xml:space="preserve">paper is only 5 pages 
the example shows is very trivial
BTW, the title says it is model-checking based, but it is actually UML activity-diagram based
--vgarousi Tue Aug 02 2011 11:39:06 GMT-0600 (Mountain Daylight Time)</t>
      </text>
    </comment>
    <comment authorId="0" ref="F53">
      <text>
        <t xml:space="preserve">not about testing, but about quality and defect measurement
 --vgarousi Tue Aug 02 2011 15:57:48 GMT-0600 (Mountain Daylight Time)</t>
      </text>
    </comment>
    <comment authorId="0" ref="F54">
      <text>
        <t xml:space="preserve">no or minor novelty --vgarousi Tue Aug 02 2011 16:03:42 GMT-0600 (Mountain Daylight Time)</t>
      </text>
    </comment>
    <comment authorId="0" ref="J57">
      <text>
        <t xml:space="preserve">the quality of the paper is questionable
 --vgarousi Tue Aug 02 2011 16:07:02 GMT-0600 (Mountain Daylight Time)</t>
      </text>
    </comment>
    <comment authorId="0" ref="J58">
      <text>
        <t xml:space="preserve">hard to follow paper.
It talks about "Workﬂow Attack"??
Evaluation is poor
 --vgarousi Tue Aug 02 2011 16:09:00 GMT-0600 (Mountain Daylight Time)</t>
      </text>
    </comment>
    <comment authorId="0" ref="J61">
      <text>
        <t xml:space="preserve">only 2 pages
The word "test" appears only once
 --vgarousi Tue Aug 02 2011 16:12:30 GMT-0600 (Mountain Daylight Time)</t>
      </text>
    </comment>
    <comment authorId="0" ref="G62">
      <text>
        <t xml:space="preserve">Shouldn't it be excluded?
 --vgarousi Tue Aug 02 2011 16:23:25 GMT-0600 (Mountain Daylight Time)</t>
      </text>
    </comment>
    <comment authorId="0" ref="J63">
      <text>
        <t xml:space="preserve">The evaluation seems so superficial
--vgarousi Tue Aug 02 2011 16:25:19 GMT-0600 (Mountain Daylight Time)</t>
      </text>
    </comment>
    <comment authorId="0" ref="F64">
      <text>
        <t xml:space="preserve">Just high-level discussions
 --vgarousi Tue Aug 02 2011 16:33:35 GMT-0600 (Mountain Daylight Time)</t>
      </text>
    </comment>
    <comment authorId="0" ref="J64">
      <text>
        <t xml:space="preserve">There is no evaluation 
 --vgarousi Tue Aug 02 2011 16:33:12 GMT-0600 (Mountain Daylight Time)</t>
      </text>
    </comment>
    <comment authorId="0" ref="L64">
      <text>
        <t xml:space="preserve">Would you please be more specific on why?
 --vgarousi Tue Aug 02 2011 16:24:19 GMT-0600 (Mountain Daylight Time)</t>
      </text>
    </comment>
    <comment authorId="0" ref="L65">
      <text>
        <t xml:space="preserve">I agree
 --vgarousi Tue Aug 02 2011 16:35:06 GMT-0600 (Mountain Daylight Time)</t>
      </text>
    </comment>
    <comment authorId="0" ref="F67">
      <text>
        <t xml:space="preserve">Intrusion Detection
 --vgarousi Tue Aug 02 2011 16:41:35 GMT-0600 (Mountain Daylight Time)</t>
      </text>
    </comment>
    <comment authorId="0" ref="F69">
      <text>
        <t xml:space="preserve">"test" only appears twice
 --vgarousi Tue Aug 02 2011 16:42:15 GMT-0600 (Mountain Daylight Time)</t>
      </text>
    </comment>
    <comment authorId="0" ref="D71">
      <text>
        <t xml:space="preserve">I suggest to exclude it, since as per Figure 1 of paper, test cases are INPUT to this technique, and are used to drive the process of rev. engg'ing seq diagrams.
Also, see 1st parag. under "3-An Example Application"
 --vgarousi Sun Aug 21 2011 18:40:35 GMT-0600 (Mountain Daylight Time)</t>
      </text>
    </comment>
    <comment authorId="0" ref="A74">
      <text>
        <t xml:space="preserve">very similar to:
Structural Testing of Web Applications
I suggest to keep the other one, since that one was in ISSRE (higher quality venue)
but this one in APAQS
three papers by same authors:
An agent-based data-flow testing approach for Web applications 
Object-Based Data Flow Testing of Web Applications
Structural Testing of Web Applications 
 --vgarousi Tue Aug 09 2011 20:10:42 GMT-0600 (Mountain Daylight Time)</t>
      </text>
    </comment>
    <comment authorId="0" ref="N74">
      <text>
        <t xml:space="preserve">But is really a good example..
--vgarousi Wed Aug 03 2011 17:11:11 GMT-0600 (Mountain Daylight Time)</t>
      </text>
    </comment>
    <comment authorId="0" ref="X74">
      <text>
        <t xml:space="preserve">Web Application Test Model (WATM) that captures the data flow information of Web applications
 --vgarousi Sun Sep 25 2011 20:20:14 GMT-0600 (Mountain Daylight Time)</t>
      </text>
    </comment>
    <comment authorId="0" ref="Y74">
      <text>
        <t xml:space="preserve">5 Data Flow-based coverage criteria are proposed
 --vgarousi Sun Sep 25 2011 20:21:37 GMT-0600 (Mountain Daylight Time)</t>
      </text>
    </comment>
    <comment authorId="0" ref="AS74">
      <text>
        <t xml:space="preserve">see fig 9 in the paper
 --vgarousi Thu Sep 29 2011 15:52:40 GMT-0600 (Mountain Daylight Time)</t>
      </text>
    </comment>
    <comment authorId="0" ref="BR74">
      <text>
        <t xml:space="preserve">CFPs: control flow paths
 --vgarousi Thu Sep 29 2011 15:53:35 GMT-0600 (Mountain Daylight Time)</t>
      </text>
    </comment>
    <comment authorId="0" ref="DC74">
      <text>
        <t xml:space="preserve">called eBID 
--vgarousi Thu Sep 29 2011 15:55:37 GMT-0600 (Mountain Daylight Time)</t>
      </text>
    </comment>
    <comment authorId="0" ref="A75">
      <text>
        <t xml:space="preserve">very similar to:
Object-Based Data Flow Testing of Web Applications
I suggest to keep this one, since it was in ISSRE (higher quality venue)
three papers by same authors:
An agent-based data-flow testing approach for Web applications 
Object-Based Data Flow Testing of Web Applications
Structural Testing of Web Applications 
 --vgarousi Tue Aug 09 2011 20:10:51 GMT-0600 Time)(Mountain Daylight </t>
      </text>
    </comment>
    <comment authorId="0" ref="X75">
      <text>
        <t xml:space="preserve">Web Application Test Model (WATM) that captures the data flow information of Web applications
 --vgarousi Sun Sep 25 2011 20:20:14 GMT-0600 (Mountain Daylight Time)</t>
      </text>
    </comment>
    <comment authorId="0" ref="Y75">
      <text>
        <t xml:space="preserve">5 Data Flow-based coverage criteria are proposed
 --vgarousi Sun Sep 25 2011 20:21:37 GMT-0600 (Mountain Daylight Time)</t>
      </text>
    </comment>
    <comment authorId="0" ref="AS75">
      <text>
        <t xml:space="preserve">see fig 9 in the paper
 --vgarousi Thu Sep 29 2011 15:52:40 GMT-0600 (Mountain Daylight Time)</t>
      </text>
    </comment>
    <comment authorId="0" ref="BR75">
      <text>
        <t xml:space="preserve">CFPs: control flow paths
 --vgarousi Thu Sep 29 2011 15:53:35 GMT-0600 (Mountain Daylight Time)</t>
      </text>
    </comment>
    <comment authorId="0" ref="DC75">
      <text>
        <t xml:space="preserve">called eBID 
--vgarousi Thu Sep 29 2011 15:55:37 GMT-0600 (Mountain Daylight Time)</t>
      </text>
    </comment>
    <comment authorId="0" ref="P80">
      <text>
        <t xml:space="preserve">fault localization</t>
      </text>
    </comment>
    <comment authorId="0" ref="T81">
      <text>
        <t xml:space="preserve">survey (neutral vote)</t>
      </text>
    </comment>
    <comment authorId="0" ref="P84">
      <text>
        <t xml:space="preserve">mutation testing</t>
      </text>
    </comment>
    <comment authorId="0" ref="U84">
      <text>
        <t xml:space="preserve">Seems to be a "PhD proposal"</t>
      </text>
    </comment>
    <comment authorId="0" ref="P87">
      <text>
        <t xml:space="preserve">Not sure if this is about functional testing. Checks the structure of a web site</t>
      </text>
    </comment>
    <comment authorId="0" ref="P92">
      <text>
        <t xml:space="preserve">model checking after model extraction.</t>
      </text>
    </comment>
    <comment authorId="0" ref="P97">
      <text>
        <t xml:space="preserve">Not a WAT paper.</t>
      </text>
    </comment>
    <comment authorId="0" ref="P104">
      <text>
        <t xml:space="preserve">test case generation for user input validation</t>
      </text>
    </comment>
    <comment authorId="0" ref="G106">
      <text>
        <t xml:space="preserve">1)experiments performed on pages written in JSP and uses MySQL. (Sabnam  noted their implementation language-we asked for SUT language I believe)
 check coulm DE
2)framework includes record/replay as test technique. the contribution is test suite reduction but it uses record/replay
 --aysubetincan Thu Feb 09 2012 14:56:48 GMT+0200 (GTB Standard Time)</t>
      </text>
    </comment>
    <comment authorId="0" ref="H106">
      <text>
        <t xml:space="preserve">DE you mean tool name? --Mirshokraie Wed 14 Mar 2012 02:30:46 PM PDT</t>
      </text>
    </comment>
    <comment authorId="0" ref="AQ106">
      <text>
        <t xml:space="preserve">They present an approach for achieving scalable user-session based testing of web applications. Concept analysis is used for clustering user sessions for test-suite reduction. --Mirshokraie October-04-11 11:35:11 PM</t>
      </text>
    </comment>
    <comment authorId="0" ref="AT106">
      <text>
        <t xml:space="preserve">Test suit reduction. --Mirshokraie October-04-11 11:37:09 PM</t>
      </text>
    </comment>
    <comment authorId="0" ref="BH106">
      <text>
        <t xml:space="preserve">Generating reduced size test suites to provide scalability.  </t>
      </text>
    </comment>
    <comment authorId="0" ref="BR106">
      <text>
        <t xml:space="preserve">page-level, statement coverage </t>
      </text>
    </comment>
    <comment authorId="0" ref="BS106">
      <text>
        <t xml:space="preserve">coverage of functions, methods </t>
      </text>
    </comment>
    <comment authorId="0" ref="CM106">
      <text>
        <t xml:space="preserve">Using concept analysis to derive reduced test suites. 
--Mirshokraie Fri 07 Oct 2011 01:43:01 PM PDT</t>
      </text>
    </comment>
    <comment authorId="0" ref="CO106">
      <text>
        <t xml:space="preserve">Generates test cases with real data as input. Replay the test cases, and gather coverage information. --Mirshokraie October-05-11 12:40:38 AM</t>
      </text>
    </comment>
    <comment authorId="0" ref="DC106">
      <text>
        <t xml:space="preserve">"The setup for the fault detection study consisted of manually seeding faults in the application such that each version of the application contained one seeded fault."</t>
      </text>
    </comment>
    <comment authorId="0" ref="DE106">
      <text>
        <t xml:space="preserve">test Replay Time</t>
      </text>
    </comment>
    <comment authorId="0" ref="DG106">
      <text>
        <t xml:space="preserve">test oracle time, see Table 1</t>
      </text>
    </comment>
    <comment authorId="0" ref="DI106">
      <text>
        <t xml:space="preserve">40 faults are injected --Mirshokraie October-05-11 12:49:59 AM</t>
      </text>
    </comment>
    <comment authorId="0" ref="DK106">
      <text>
        <t xml:space="preserve">replay time, oracle time </t>
      </text>
    </comment>
    <comment authorId="0" ref="DN106">
      <text>
        <t xml:space="preserve">See Table 1. Test suite reduction, coverage and faults detected
1. What test case reduction can be achieved through concept analysis for user-session testing?
2. How does reducing the test suite affect replay time and oracle time?
3. What is the cost-effectiveness of incremental versus batch concept analysis for reduced test suite update?
4. Does concept analysis reduce the test suite while maintaining good coverage?
5. How does the reduced test suite fare against the original test suite in terms of fault detection capabilities?</t>
      </text>
    </comment>
    <comment authorId="0" ref="DU106">
      <text>
        <t xml:space="preserve">Laboratory experiment (software)</t>
      </text>
    </comment>
    <comment authorId="0" ref="EY106">
      <text>
        <t xml:space="preserve">bookstore web application --Mirshokraie October-05-11 1:16:02 AM</t>
      </text>
    </comment>
    <comment authorId="0" ref="G107">
      <text>
        <t xml:space="preserve">I'm agree with selected items.
 --Mirshokraie Thu 08 Mar 2012 11:35:24 AM PST</t>
      </text>
    </comment>
    <comment authorId="0" ref="AY107">
      <text>
        <t xml:space="preserve">data colletion to show the need to test cookies</t>
      </text>
    </comment>
    <comment authorId="0" ref="CM107">
      <text>
        <t xml:space="preserve">Antirandom testing involves the selection of test-cases to maximize the Cartesian or Hamming distance from all previous test-cases and has been shown effective through a series of empirical evaluations 
 --vgarousi Sun Jan 15 2012 22:37:37 GMT-0700 (Mountain Standard Time)</t>
      </text>
    </comment>
    <comment authorId="0" ref="Q108">
      <text>
        <t xml:space="preserve">validating the navigation behavior of the web application using dynamic crawling-based model generation and back-end model checking</t>
      </text>
    </comment>
    <comment authorId="0" ref="AR109">
      <text>
        <t xml:space="preserve">implemented a tool that embeds the SMV model checker.</t>
      </text>
    </comment>
    <comment authorId="0" ref="AS109">
      <text>
        <t xml:space="preserve">First of all, we propose a mathematical model of a WA partitioning the
usual Kripke structure into windows, links, pages and actions</t>
      </text>
    </comment>
    <comment authorId="0" ref="BF109">
      <text>
        <t xml:space="preserve">Formal verification (static analysis)</t>
      </text>
    </comment>
    <comment authorId="0" ref="BJ109">
      <text>
        <t xml:space="preserve">they automates testing by implementing a tool</t>
      </text>
    </comment>
    <comment authorId="0" ref="BM109">
      <text>
        <t xml:space="preserve">formal verification</t>
      </text>
    </comment>
    <comment authorId="0" ref="BT109">
      <text>
        <t xml:space="preserve">N/A</t>
      </text>
    </comment>
    <comment authorId="0" ref="CA109">
      <text>
        <t xml:space="preserve">Model is created by a UML tool</t>
      </text>
    </comment>
    <comment authorId="0" ref="CS109">
      <text>
        <t xml:space="preserve">CTL</t>
      </text>
    </comment>
    <comment authorId="0" ref="DD109">
      <text>
        <t xml:space="preserve">detecting the fault of given model.</t>
      </text>
    </comment>
    <comment authorId="0" ref="EC109">
      <text>
        <t xml:space="preserve">N/A</t>
      </text>
    </comment>
    <comment authorId="0" ref="EJ109">
      <text>
        <t xml:space="preserve">can be any technology. Study is about verifying the design</t>
      </text>
    </comment>
    <comment authorId="0" ref="D110">
      <text>
        <t xml:space="preserve">1)check BA:tests php code, server side not client
V: yes, you have a sharp eye!
2) SUT Names:Mantis 1.0.0rc2,mambo 4.3.5,utopia news pro
fixed
3) column DJ:27 files-17328 LOC ; 23 files -13248; 6 files 1529 LOC
fixed
--aysubetincan Fri Feb 17 2012 12:08:11 GMT+0200 (Turkey Standard Time)</t>
      </text>
    </comment>
    <comment authorId="0" ref="BA110">
      <text>
        <t xml:space="preserve">A plugin to phc, an open source PHP compiler front-end</t>
      </text>
    </comment>
    <comment authorId="0" ref="BR110">
      <text>
        <t xml:space="preserve">Concolic testing</t>
      </text>
    </comment>
    <comment authorId="0" ref="BT110">
      <text>
        <t xml:space="preserve">Concolic testing</t>
      </text>
    </comment>
    <comment authorId="0" ref="BU110">
      <text>
        <t xml:space="preserve">Concolic testing</t>
      </text>
    </comment>
    <comment authorId="0" ref="CB110">
      <text>
        <t xml:space="preserve">On PHP code</t>
      </text>
    </comment>
    <comment authorId="0" ref="DO110">
      <text>
        <t xml:space="preserve">Number of test case iterations required to find real defects</t>
      </text>
    </comment>
    <comment authorId="0" ref="DR110">
      <text>
        <t xml:space="preserve">execution time</t>
      </text>
    </comment>
    <comment authorId="0" ref="FP110">
      <text>
        <t xml:space="preserve">A plugin to phc, an open source PHP compiler front-end</t>
      </text>
    </comment>
    <comment authorId="0" ref="FT110">
      <text>
        <t xml:space="preserve">17,328+13,248+1,529</t>
      </text>
    </comment>
    <comment authorId="0" ref="BR111">
      <text>
        <t xml:space="preserve">Hence, it ensures that the client receives the right response from the server</t>
      </text>
    </comment>
    <comment authorId="0" ref="BT111">
      <text>
        <t xml:space="preserve">Especially we focus on data retrieved during AJAX [5] calls as those cannot be reliably tested with current techniques (to our knowledge no front-end testing framework can intercept AJAX calls)</t>
      </text>
    </comment>
    <comment authorId="0" ref="BW111">
      <text>
        <t xml:space="preserve">method for automatically validating server response by implementing a plugin to selenium</t>
      </text>
    </comment>
    <comment authorId="0" ref="CC111">
      <text>
        <t xml:space="preserve">there exists no such a tool that supports integration testing for web applications where server and client side are combined and tested as a group. In this paper, we provide a method that allows testing both parts at the same time</t>
      </text>
    </comment>
    <comment authorId="0" ref="CF111">
      <text>
        <t xml:space="preserve">sections 3 will present our approach in more details with examples of how it can be
Continuous Integration Testing of Web Applications by Sanitiz anitiz Program Input
applied to web application integration testing</t>
      </text>
    </comment>
    <comment authorId="0" ref="CO111">
      <text>
        <t xml:space="preserve">we focus on data retrieved during AJAX [5] calls (JSON)</t>
      </text>
    </comment>
    <comment authorId="0" ref="CS111">
      <text>
        <t xml:space="preserve">a small script is injected in the web page’s source code by calling JavaScript’s eval() method from the Selenium Extension</t>
      </text>
    </comment>
    <comment authorId="0" ref="DE111">
      <text>
        <t xml:space="preserve">hook code for ajax calls</t>
      </text>
    </comment>
    <comment authorId="0" ref="DH111">
      <text>
        <t xml:space="preserve">aysu:validation is automated. template generation is manual.
serdar:an automation tool (selenium) is used but the validators implemented manually</t>
      </text>
    </comment>
    <comment authorId="0" ref="DQ111">
      <text>
        <t xml:space="preserve">no effectiveness metric used or mentioned</t>
      </text>
    </comment>
    <comment authorId="0" ref="FC111">
      <text>
        <t xml:space="preserve">To capture the data sent by the server, a small script is injected in the web page’s source code by calling JavaScript’s eval() method from the Selenium Extension.</t>
      </text>
    </comment>
    <comment authorId="0" ref="FM111">
      <text>
        <t xml:space="preserve">sample application is php but the technique is independent from server side technology </t>
      </text>
    </comment>
  </commentList>
</comments>
</file>

<file path=xl/sharedStrings.xml><?xml version="1.0" encoding="utf-8"?>
<sst xmlns="http://schemas.openxmlformats.org/spreadsheetml/2006/main" count="11525" uniqueCount="2071">
  <si>
    <t>Empirical papers</t>
  </si>
  <si>
    <t>Voting</t>
  </si>
  <si>
    <t>Demographic/ bibliometric information of Paper</t>
  </si>
  <si>
    <t>WAT theme area</t>
  </si>
  <si>
    <t>Type of Paper-Contribution Facet</t>
  </si>
  <si>
    <t>Name of inferred test model</t>
  </si>
  <si>
    <t>Usage location of model</t>
  </si>
  <si>
    <t>Type of Paper-Research Facet</t>
  </si>
  <si>
    <t>Focus of Paper</t>
  </si>
  <si>
    <t xml:space="preserve">Type of Testing Activity </t>
  </si>
  <si>
    <t>Testing Location</t>
  </si>
  <si>
    <t>Testing Level</t>
  </si>
  <si>
    <t>Source of information to derive Test artifacts (e.g., test cases)</t>
  </si>
  <si>
    <t>Technique used</t>
  </si>
  <si>
    <t>Type of test artifact generated</t>
  </si>
  <si>
    <t>Manual versus Automated testing</t>
  </si>
  <si>
    <t>Effectiveness Metric</t>
  </si>
  <si>
    <t>Cost / effort metric</t>
  </si>
  <si>
    <t>Any other metric</t>
  </si>
  <si>
    <t>Type of cost effectiveness analysis</t>
  </si>
  <si>
    <t>Comparing with other papers</t>
  </si>
  <si>
    <t>OBSELETE - Other measurements (Type of the Evaluation Method)</t>
  </si>
  <si>
    <t>Empirical evidence</t>
  </si>
  <si>
    <t>Goal of Empirical study</t>
  </si>
  <si>
    <t>Threats to validity</t>
  </si>
  <si>
    <t>Rigor = C + S + V</t>
  </si>
  <si>
    <t>Industry Relevance = C + RM + U + S</t>
  </si>
  <si>
    <t>Static Web Sites vs. Dynamic Web Apps</t>
  </si>
  <si>
    <t xml:space="preserve">Synchronicity of HTTP calls </t>
  </si>
  <si>
    <t>Fault model / taxonomy</t>
  </si>
  <si>
    <t>Client-tier Web Technology</t>
  </si>
  <si>
    <t>Web-server-tier Web Technology</t>
  </si>
  <si>
    <t>Attributes of the tool presented in the paper (if any)</t>
  </si>
  <si>
    <t>Attributes of the web software SUT(s)</t>
  </si>
  <si>
    <t>Client side techniques</t>
  </si>
  <si>
    <t>ASYNC techniques</t>
  </si>
  <si>
    <t>Tools for theme areas</t>
  </si>
  <si>
    <t>ID</t>
  </si>
  <si>
    <t>Paper Title (sorted A-Z)</t>
  </si>
  <si>
    <t>Link to PDF</t>
  </si>
  <si>
    <t>Assignment</t>
  </si>
  <si>
    <t>Is paper Validation or Evaluation Research?</t>
  </si>
  <si>
    <t>Peer reviewer and comments (notes)</t>
  </si>
  <si>
    <t>Done? Review/Revision</t>
  </si>
  <si>
    <t>Year</t>
  </si>
  <si>
    <t>SLR Data extraction done?</t>
  </si>
  <si>
    <t>LaTeX Reference</t>
  </si>
  <si>
    <t>AyV</t>
  </si>
  <si>
    <t>AyAl</t>
  </si>
  <si>
    <t>VAy</t>
  </si>
  <si>
    <t>VAl</t>
  </si>
  <si>
    <t>AlV</t>
  </si>
  <si>
    <t>AlAy</t>
  </si>
  <si>
    <t>Inclusion Outcome</t>
  </si>
  <si>
    <t>Decision (criterion 1)</t>
  </si>
  <si>
    <t>Ali/Serdar-criterion 1</t>
  </si>
  <si>
    <t>Vahid-criterion 1</t>
  </si>
  <si>
    <t>Aysu-criterion 1</t>
  </si>
  <si>
    <t>Decision (criterion 2)</t>
  </si>
  <si>
    <t>Ali/Serdar-criterion 2</t>
  </si>
  <si>
    <t>Vahid-criterion 2</t>
  </si>
  <si>
    <t>Aysu-criterion 2</t>
  </si>
  <si>
    <t>Comments / discussions for voting</t>
  </si>
  <si>
    <t>Authors</t>
  </si>
  <si>
    <t>Author Country</t>
  </si>
  <si>
    <t>More than one country</t>
  </si>
  <si>
    <t>check?</t>
  </si>
  <si>
    <t>Venue</t>
  </si>
  <si>
    <t>C / J / W / M / S</t>
  </si>
  <si>
    <t>Citations (as of Apr 7, 2012)</t>
  </si>
  <si>
    <t>Normalized citations</t>
  </si>
  <si>
    <t>Journal papers</t>
  </si>
  <si>
    <t>Conference papers</t>
  </si>
  <si>
    <t>Workshop papers</t>
  </si>
  <si>
    <t>Magazine papers</t>
  </si>
  <si>
    <t>Symposium papers</t>
  </si>
  <si>
    <t>White-box</t>
  </si>
  <si>
    <t>Black-box testing, FSM, model-based</t>
  </si>
  <si>
    <t>Mutation</t>
  </si>
  <si>
    <t>AJAX testing</t>
  </si>
  <si>
    <t>Session-based testing (navigation models, logs)</t>
  </si>
  <si>
    <t>Cross-Browser Compatibility Testing</t>
  </si>
  <si>
    <t>Regression testing</t>
  </si>
  <si>
    <t>Test Oracle</t>
  </si>
  <si>
    <t>Support for testing</t>
  </si>
  <si>
    <t>Other</t>
  </si>
  <si>
    <t>Checksum</t>
  </si>
  <si>
    <t>Test method / technique</t>
  </si>
  <si>
    <t>Test tool</t>
  </si>
  <si>
    <t>Test model</t>
  </si>
  <si>
    <t>Metric</t>
  </si>
  <si>
    <t>Process</t>
  </si>
  <si>
    <t>num</t>
  </si>
  <si>
    <t>Navigation model (for pages)</t>
  </si>
  <si>
    <t>Control or data flow model (unit level)</t>
  </si>
  <si>
    <t>DOM model</t>
  </si>
  <si>
    <t>1-Solution Proposal</t>
  </si>
  <si>
    <t>2-Validation Research</t>
  </si>
  <si>
    <t>3-Evaluation Research</t>
  </si>
  <si>
    <t>Experience Papers</t>
  </si>
  <si>
    <t>Philosophical Papers</t>
  </si>
  <si>
    <t>Opinion Papers</t>
  </si>
  <si>
    <t>(Functional) Testing</t>
  </si>
  <si>
    <t>Static Verification (analysis)</t>
  </si>
  <si>
    <t>Dynamic Verification (analysis)</t>
  </si>
  <si>
    <t xml:space="preserve">Test-case Design (Criteria-based) </t>
  </si>
  <si>
    <t>Test-case Design (Human knowledge-based)</t>
  </si>
  <si>
    <t>Test Automation</t>
  </si>
  <si>
    <t>Test Execution</t>
  </si>
  <si>
    <t>Test Evaluation (oracle)</t>
  </si>
  <si>
    <t>Test suite reduction</t>
  </si>
  <si>
    <t>other name</t>
  </si>
  <si>
    <t>Client-side</t>
  </si>
  <si>
    <t>Server-side</t>
  </si>
  <si>
    <t>Both</t>
  </si>
  <si>
    <t>Unit</t>
  </si>
  <si>
    <t>Integration</t>
  </si>
  <si>
    <t>System (usually via GUI)</t>
  </si>
  <si>
    <t>Source code (white-box)</t>
  </si>
  <si>
    <t>Requirements and Source code (gray-box)</t>
  </si>
  <si>
    <t>Requirements (Models, etc)</t>
  </si>
  <si>
    <t xml:space="preserve">Invariants </t>
  </si>
  <si>
    <t>(user) logs</t>
  </si>
  <si>
    <t>Inferred Model (automatic)</t>
  </si>
  <si>
    <t>Inferred Model (manual)</t>
  </si>
  <si>
    <t>Requirements based</t>
  </si>
  <si>
    <t>Symbolic execution</t>
  </si>
  <si>
    <t>Static code analysis</t>
  </si>
  <si>
    <t>Dynamic code analysis, e.g., Coverage</t>
  </si>
  <si>
    <t>Crawling</t>
  </si>
  <si>
    <t>Concolic testing</t>
  </si>
  <si>
    <t>Model checking</t>
  </si>
  <si>
    <t>Search-based testing</t>
  </si>
  <si>
    <t>Record/ playback</t>
  </si>
  <si>
    <t>Model based</t>
  </si>
  <si>
    <t>Test input (data)</t>
  </si>
  <si>
    <t>Test requirements (not input values)</t>
  </si>
  <si>
    <t>Expected outputs (oracle)</t>
  </si>
  <si>
    <t>Test driver (code)</t>
  </si>
  <si>
    <t>Manual</t>
  </si>
  <si>
    <t>Automated</t>
  </si>
  <si>
    <t>Both (auto derived. See formula)</t>
  </si>
  <si>
    <t>Fully manual</t>
  </si>
  <si>
    <t>Fully automated</t>
  </si>
  <si>
    <t>Coverage (code)</t>
  </si>
  <si>
    <t>Coverage (model)</t>
  </si>
  <si>
    <t>Coverage (Other)</t>
  </si>
  <si>
    <t>Detecting real faults</t>
  </si>
  <si>
    <t>Detecting injected faults</t>
  </si>
  <si>
    <t>AUTO-# of eff metrics</t>
  </si>
  <si>
    <t>AUTO-code cov AND mutation?</t>
  </si>
  <si>
    <t>Effort / test time</t>
  </si>
  <si>
    <t>Test suite size</t>
  </si>
  <si>
    <t>Memory space</t>
  </si>
  <si>
    <t>AUTO-# of  cost metrics</t>
  </si>
  <si>
    <t>AUTO-Measured both cost and eff?</t>
  </si>
  <si>
    <t>data for charts</t>
  </si>
  <si>
    <t>Summary</t>
  </si>
  <si>
    <t>cross comparison</t>
  </si>
  <si>
    <t>one at a time</t>
  </si>
  <si>
    <t>Mutation testing (fault injection)</t>
  </si>
  <si>
    <t>Manual comparison</t>
  </si>
  <si>
    <t>Time/ performance</t>
  </si>
  <si>
    <t>Example</t>
  </si>
  <si>
    <t>Goal of Empirical study. PUT RQs in the notes area</t>
  </si>
  <si>
    <t># of RQs</t>
  </si>
  <si>
    <t>Effectiveness</t>
  </si>
  <si>
    <t>Effort / cost</t>
  </si>
  <si>
    <t>coverage</t>
  </si>
  <si>
    <t>Empirical outcome / result</t>
  </si>
  <si>
    <t>Internal</t>
  </si>
  <si>
    <t>Construct</t>
  </si>
  <si>
    <t>Conclusion</t>
  </si>
  <si>
    <t>External (generalization)</t>
  </si>
  <si>
    <t>Context described</t>
  </si>
  <si>
    <t>Study design described</t>
  </si>
  <si>
    <t>Validity discussed</t>
  </si>
  <si>
    <t>Sum</t>
  </si>
  <si>
    <t>Context</t>
  </si>
  <si>
    <t>Research method</t>
  </si>
  <si>
    <t>User/ Subject</t>
  </si>
  <si>
    <t>Scale</t>
  </si>
  <si>
    <t xml:space="preserve">Static </t>
  </si>
  <si>
    <t xml:space="preserve">Dynamic </t>
  </si>
  <si>
    <t>Synchronous calls</t>
  </si>
  <si>
    <t>Asynchronous calls (Ajax)</t>
  </si>
  <si>
    <t>HTML</t>
  </si>
  <si>
    <t>DOM</t>
  </si>
  <si>
    <t>JavaScript</t>
  </si>
  <si>
    <t>N/A</t>
  </si>
  <si>
    <t>Unknown</t>
  </si>
  <si>
    <t>PHP</t>
  </si>
  <si>
    <t>J2EE (Java servlet, JSP, ...)</t>
  </si>
  <si>
    <t>.NET</t>
  </si>
  <si>
    <t>Ruby</t>
  </si>
  <si>
    <t>Python</t>
  </si>
  <si>
    <t>Perl  (CGI)</t>
  </si>
  <si>
    <t>Name</t>
  </si>
  <si>
    <t>Available for download (put x if yes)</t>
  </si>
  <si>
    <t># of SUTs</t>
  </si>
  <si>
    <t>SUT names</t>
  </si>
  <si>
    <t>Size in LOC</t>
  </si>
  <si>
    <t>Other size metrics (e.g., # of pages, forms, etc)</t>
  </si>
  <si>
    <t>Academic experimental</t>
  </si>
  <si>
    <t>Real open-source</t>
  </si>
  <si>
    <t>Commercial</t>
  </si>
  <si>
    <t>S1</t>
  </si>
  <si>
    <t>A 2-layer model for the white-box testing of Web applications</t>
  </si>
  <si>
    <t>https://docs.google.com/viewer?a=v&amp;pid=explorer&amp;chrome=true&amp;srcid=0B6dKdxaNjBENMmZlZjU1NjctYzQzMC00MzBhLTg0NTEtZTRjM2FkZDk5YmIz&amp;hl=en_US</t>
  </si>
  <si>
    <t>Aysu</t>
  </si>
  <si>
    <t>Vahid</t>
  </si>
  <si>
    <t>x/x</t>
  </si>
  <si>
    <t>Tonella:wse04</t>
  </si>
  <si>
    <t>Paolo Tonella, Filippo Ricca</t>
  </si>
  <si>
    <t>Italy</t>
  </si>
  <si>
    <t>WSE</t>
  </si>
  <si>
    <t>W</t>
  </si>
  <si>
    <t>x</t>
  </si>
  <si>
    <t>Extract &amp; Use</t>
  </si>
  <si>
    <t>S, B, P, U, D, DU</t>
  </si>
  <si>
    <t>St, Tr</t>
  </si>
  <si>
    <t xml:space="preserve"> </t>
  </si>
  <si>
    <t>wmforum</t>
  </si>
  <si>
    <t>3 php files</t>
  </si>
  <si>
    <t>S2</t>
  </si>
  <si>
    <t>A case study-based comparison of web testing techniques applied to AJAX web applications</t>
  </si>
  <si>
    <t>https://docs.google.com/viewer?a=v&amp;pid=explorer&amp;chrome=true&amp;srcid=0B6dKdxaNjBENMjI4MWFkZGYtYjhhNS00YThhLWE4NTktZjg3Y2I5MjExODJm&amp;hl=en_US</t>
  </si>
  <si>
    <t>xx</t>
  </si>
  <si>
    <t>Marchetto:sttt08</t>
  </si>
  <si>
    <t>Alessandro Marchetto, Filippo Ricca and Paolo Tonella</t>
  </si>
  <si>
    <t xml:space="preserve">STTT </t>
  </si>
  <si>
    <t>J</t>
  </si>
  <si>
    <t>use case coverage</t>
  </si>
  <si>
    <t>See the RQs. Only comparing one metric at a time. No cross analysis of metrics. Effectiveness and effort analysis. Cited using an approach for compairson... See notes</t>
  </si>
  <si>
    <t xml:space="preserve">state-based testing technique, developed to test AJAX-based applications, is compared to existing Web testing techniques, Model-based. Coverage-based, and black-box testing........... </t>
  </si>
  <si>
    <t>state-based testing is complementary to the existing Web testing techniques and can reveal faults otherwise unnoticed or hard to reveal with the other techniques......... state-based testing technique is shown to be the best one......... Overall, state-based testing involves more effort than the other considered techniques; hence, there is a trade-off between fault revealing potential (see RQ1) and effort involved.</t>
  </si>
  <si>
    <t>subjectivity in applying techniques, 
representativeness of the faults injected</t>
  </si>
  <si>
    <t>subjectivity in choosing metrics</t>
  </si>
  <si>
    <t>Not using statistical tests</t>
  </si>
  <si>
    <t>representativeness of SUTs, 
scalability not sure</t>
  </si>
  <si>
    <t>Photoshare and Organizer</t>
  </si>
  <si>
    <t>38 files in photoshare;53 files 22states 150 transitions in organizer</t>
  </si>
  <si>
    <t>S3</t>
  </si>
  <si>
    <t>A Framework for Automated Testing of JavaScript Web Applications</t>
  </si>
  <si>
    <t>https://docs.google.com/viewer?a=v&amp;pid=explorer&amp;chrome=true&amp;srcid=0B6dKdxaNjBENOTYxMmYwNDktMmU1Yy00NjRjLWI0YmQtZTAzNWExOWQzMTky&amp;hl=en_US</t>
  </si>
  <si>
    <t>Ali</t>
  </si>
  <si>
    <t>Artzi:icse2011</t>
  </si>
  <si>
    <t>Shay Artzi; Julian Dolby; Simon Jensen; Anders Møller; Frank Tip</t>
  </si>
  <si>
    <t>USA, Denmark</t>
  </si>
  <si>
    <t>ICSE</t>
  </si>
  <si>
    <t>C</t>
  </si>
  <si>
    <t>S, B</t>
  </si>
  <si>
    <t>cross comparison: coverage growth vs. test-suite size,,,,,,,,,,,,,,,,,, and # of real defects detected by each of the four techniques</t>
  </si>
  <si>
    <t>Comparing four feedback-directed test generation algorithms that we will name events, const, cov, and all for convenience.</t>
  </si>
  <si>
    <t>reaching maximal coverage</t>
  </si>
  <si>
    <t>basic algorithm, events, produces surprisingly good coverage (69% on average) if enough tests are generated.</t>
  </si>
  <si>
    <t>representativeness of SUTs</t>
  </si>
  <si>
    <t>Artemis</t>
  </si>
  <si>
    <t>3dModeller, AjaxPoll, AjaxTabsContent, BallPool, DragableBoxes, DynamicArticles, FractalViewer, Homeostasis, HTMLEdit, Pacman</t>
  </si>
  <si>
    <t>#functions: 30, 28, 31, 18, 66, 27, 125, 539, 37, 152: total=1053</t>
  </si>
  <si>
    <t>S4</t>
  </si>
  <si>
    <t>A Study of Usage-Based Navigation Models and Generated Abstract Test Cases for Web Applications</t>
  </si>
  <si>
    <t>https://docs.google.com/viewer?a=v&amp;pid=explorer&amp;chrome=true&amp;srcid=0B6dKdxaNjBENOGYxM2Q0NjMtZjVlMC00NDVlLWFmZDAtNjQwZTlhMTY0YWEw&amp;hl=en_US</t>
  </si>
  <si>
    <t>Sprenkle:icst11</t>
  </si>
  <si>
    <t>V: looks like papers using session log data to derive test cases</t>
  </si>
  <si>
    <t>Sara Sprenkle, Lori Pollock and Lucy Simko</t>
  </si>
  <si>
    <t>USA</t>
  </si>
  <si>
    <t>ICST</t>
  </si>
  <si>
    <t>S</t>
  </si>
  <si>
    <t>Tr</t>
  </si>
  <si>
    <t xml:space="preserve">cross comparison: # of user session vs. #  of States and # of edges in the naviation model </t>
  </si>
  <si>
    <t>empirically examined the tradeoffs and implications of the different ways to represent user behavior in a navigation model and the characteristics of the automatically generated test cases from different models</t>
  </si>
  <si>
    <t>finding most practical approaches to constructing usage-based navigation models and tuning them</t>
  </si>
  <si>
    <t>results showed the following: with only a small number of user sessions, a tester can construct a navigation model that generates abstract test cases representative of observed user behavior as well as new behavior.</t>
  </si>
  <si>
    <t>need for more real-world studies</t>
  </si>
  <si>
    <t>Masplas, Book, CPM, Logic, DSpace</t>
  </si>
  <si>
    <t>#classes: 9, 11, 76, 109, 294</t>
  </si>
  <si>
    <t>S5</t>
  </si>
  <si>
    <t>A Symbolic Execution Framework for {JavaScript}</t>
  </si>
  <si>
    <t>https://docs.google.com/viewer?a=v&amp;pid=explorer&amp;chrome=true&amp;srcid=0B6dKdxaNjBENMzY5MWQ4MWEtMDZmNy00ZmMyLWE3YmEtYTFmYTEzMmRjNDc0&amp;hl=en_US</t>
  </si>
  <si>
    <t>Saxena:sp10</t>
  </si>
  <si>
    <t>V: it is for injection vulnerabilities, not functional testing A:this paper is on the border. it is about security but not as usual security aspect</t>
  </si>
  <si>
    <t>Prateek Saxena, Devdatta Akhawe, Steve Hanna, Feng Mao, Stephen McCamant, Dawn Song</t>
  </si>
  <si>
    <t>SP</t>
  </si>
  <si>
    <t>Event space Coverage</t>
  </si>
  <si>
    <t>showing initial coverage value and values after running the symbolic execution engine. Also showing the fault deteciton power of the tool. also Figure 13 shows The constraint solver’s running time (in seconds)</t>
  </si>
  <si>
    <t xml:space="preserve">objective 1: is to determine whether Kudzu is practically effective in exploring the execution space of real-world applications and uncovering new code. 
The second objective is to determine the effectiveness of Kudzu as a stand-alone vulnerability discovery tool 
We measure the efﬁciency of the constraint solver. </t>
  </si>
  <si>
    <t>exploring the execution space</t>
  </si>
  <si>
    <t xml:space="preserve">Effectiveness. Kudzu automatically generates a test suite of over 50 new distinct inputs on average for an application in the test period </t>
  </si>
  <si>
    <t>Kudzu</t>
  </si>
  <si>
    <t>academia, AJAXIm, facebook chat, parseUri,plaxo, askaword, birthday reminder, block notes, calorie watcher, expenses manager, listy, notes lp, progress bar, simple calculator, todo list, tvguide, word monkey, zip code gas</t>
  </si>
  <si>
    <t>S6</t>
  </si>
  <si>
    <t>A Technique for Reducing User Session Data Sets in Web Application Testing</t>
  </si>
  <si>
    <t>https://docs.google.com/viewer?a=v&amp;pid=explorer&amp;chrome=true&amp;srcid=0B6dKdxaNjBENMDliMWQ4YWItOTcwOC00OGZmLWI0OTAtNzQ1ZTE4OWVmZDU3&amp;hl=en_US</t>
  </si>
  <si>
    <t>Lucca:wse06</t>
  </si>
  <si>
    <t>Giuseppe Antonio Di Lucca, Anna Rita Fasolino, Porfirio Tramontana</t>
  </si>
  <si>
    <t>Bookstore</t>
  </si>
  <si>
    <t>385 methods, 11
classes</t>
  </si>
  <si>
    <t>S7</t>
  </si>
  <si>
    <t>A Testing Tool for Web Applications Using a Domain-Specific Modelling Language and the NuSMV Model Checker</t>
  </si>
  <si>
    <t>https://docs.google.com/file/d/0Bw8z7TlbmHSJc1ZpblNoQlRzN00/edit</t>
  </si>
  <si>
    <t>Serdar</t>
  </si>
  <si>
    <t>Törsel:icst2013</t>
  </si>
  <si>
    <t>Input</t>
  </si>
  <si>
    <t>MBT4Web</t>
  </si>
  <si>
    <t>Mantis</t>
  </si>
  <si>
    <t>11 views , 22 transitions =model size (input for nusmv)</t>
  </si>
  <si>
    <t>S8</t>
  </si>
  <si>
    <t xml:space="preserve">An agent-based data-flow testing approach for Web applications </t>
  </si>
  <si>
    <t>https://docs.google.com/viewer?a=v&amp;pid=explorer&amp;chrome=true&amp;srcid=0B6dKdxaNjBENZTk5YTFmYmEtYjZiNy00MmFjLTlhNjEtOWRiNzA3M2ZiOGY1&amp;hl=en_US</t>
  </si>
  <si>
    <t>Qi:ist06</t>
  </si>
  <si>
    <t>Yu Qi, David Kung, Eric Wong</t>
  </si>
  <si>
    <t>IST</t>
  </si>
  <si>
    <t>no name</t>
  </si>
  <si>
    <t>S9</t>
  </si>
  <si>
    <t>An Effective Regression Testing Approach for PHP Web Applications</t>
  </si>
  <si>
    <t>https://docs.google.com/file/d/0B6dKdxaNjBENX2h6bjlDVEF3MlE/edit</t>
  </si>
  <si>
    <t>Marback:icst2012</t>
  </si>
  <si>
    <t>Aaron Marback, Hyunsook Do, Nathan Ehresmann</t>
  </si>
  <si>
    <t xml:space="preserve">program dependence graphs (PDGs) </t>
  </si>
  <si>
    <t>Test Path Reduction Rates</t>
  </si>
  <si>
    <t>evaluating the test path reduction rates for their
approach over the control technique (Table 4) running the tool on 2 subject systems</t>
  </si>
  <si>
    <t>to assess the regression testing approach in terms of the number of new test cases generated by the approach and also the Test Path Reduction Rates over the Control Technique
(The control technique generates all possible linearly independent paths without using any particular regression test case generation heuristics.)</t>
  </si>
  <si>
    <t>The results strongly support the conclusion that the program slice based test case generation approach can generate signiﬁcantly fewer test cases needed to test the modiﬁed version of the program compared to the control technique.</t>
  </si>
  <si>
    <t>Error in human based code modification</t>
  </si>
  <si>
    <t xml:space="preserve">representativeness of SUTs   
</t>
  </si>
  <si>
    <t>PARTE</t>
  </si>
  <si>
    <t>FAQForge and asCommerce from SourceForge. (3 versions of each)</t>
  </si>
  <si>
    <t>1368 pages</t>
  </si>
  <si>
    <t>S10</t>
  </si>
  <si>
    <t>An Empirical Comparison of Test Suite Reduction Techniques for User-Session-Based Testing of Web Applications</t>
  </si>
  <si>
    <t>https://docs.google.com/viewer?a=v&amp;pid=explorer&amp;chrome=true&amp;srcid=0B6dKdxaNjBENYWYzYzkyZTgtNTc1YS00Mzk0LWJjNWQtOWYwYTM5M2MxYmE0&amp;hl=en_US</t>
  </si>
  <si>
    <t>Sprenkle:icsm05</t>
  </si>
  <si>
    <t>Sara Sprenkle, Sreedevi Sampath, Emily Gibson, Lori Pollock, Amie Souter</t>
  </si>
  <si>
    <t>ICSM</t>
  </si>
  <si>
    <t>M, S, C</t>
  </si>
  <si>
    <t>URL coverage</t>
  </si>
  <si>
    <t>showing amount of test suite reduction by diffferent techniques</t>
  </si>
  <si>
    <t>Empirical Comparison of Test Suite Reduction Techniques for User-session-based Testing of Web Applications using 3 techniques: Concept analysis, requirements-based approaches.(HGS and Greedy )</t>
  </si>
  <si>
    <t>reducing the test suite size</t>
  </si>
  <si>
    <t>concept analysis-based reduction is a cost-effective alternative to requirements-based approaches</t>
  </si>
  <si>
    <t>simplicity of the SUTs</t>
  </si>
  <si>
    <t>need to maintain the state of the application</t>
  </si>
  <si>
    <t>Bookstore, CPM</t>
  </si>
  <si>
    <t>S11</t>
  </si>
  <si>
    <t>Analysis and testing of Web applications</t>
  </si>
  <si>
    <t>https://docs.google.com/viewer?a=v&amp;pid=explorer&amp;chrome=true&amp;srcid=0B6dKdxaNjBENNDAyYzNjNGItMzRhYS00NThlLWEwMmMtMmE2OGE0YWNkODli&amp;hl=en_US</t>
  </si>
  <si>
    <t>Ricca:icse01</t>
  </si>
  <si>
    <t>Filippo Ricca, Paolo Tonella</t>
  </si>
  <si>
    <t>Extract &amp; Use
Output</t>
  </si>
  <si>
    <t>dataflow testing</t>
  </si>
  <si>
    <t>P, DU</t>
  </si>
  <si>
    <t>Page and Hyperlink cov</t>
  </si>
  <si>
    <t>ReWeb and TestWeb</t>
  </si>
  <si>
    <t>Wordnet and Amazon</t>
  </si>
  <si>
    <t>The portion of amazon examined has 20 pages and 19 forms.</t>
  </si>
  <si>
    <t>S12</t>
  </si>
  <si>
    <t xml:space="preserve">Applying concept analysis to user-session-based testing of web applications  </t>
  </si>
  <si>
    <t>https://docs.google.com/viewer?a=v&amp;pid=explorer&amp;chrome=true&amp;srcid=0B6dKdxaNjBENZjgwZmE2MzgtM2YxMy00YmE3LTg2OGEtMDk5ZjJkNWE1ZWNi&amp;hl=en_US</t>
  </si>
  <si>
    <t>Sampath:tse07</t>
  </si>
  <si>
    <t>Sreedevi Sampath, Sara Sprenkle, Emily Gibson, Lori Pollock</t>
  </si>
  <si>
    <t>TSE</t>
  </si>
  <si>
    <t>concept analysis</t>
  </si>
  <si>
    <t>graphs showing Reduced test suite size, Program coverage effectiveness, 
Fault detection effectiveness, and memory space SEPARATELY, by different reduction heuristics</t>
  </si>
  <si>
    <t>impact of 3 test-suite reduction tehcniques on cost/benefit: 4.1 One-Per-Node Heuristic
4.2 Test-All-Exec-Requests Heuristic
4.3 k-Limited Heuristic</t>
  </si>
  <si>
    <t>concept analysis provides a promising means for incrementally updating reduced test suites in response to newly captured user sessions with some loss in fault detection capability and practically no coverage loss.</t>
  </si>
  <si>
    <t>not including fault severity</t>
  </si>
  <si>
    <t>Book, CPM, Masplas</t>
  </si>
  <si>
    <t>method:319, 173, 22-- classes: 11, 75, 9</t>
  </si>
  <si>
    <t>S13</t>
  </si>
  <si>
    <t>Applying Mutation Testing to Web Applications</t>
  </si>
  <si>
    <t>https://docs.google.com/viewer?a=v&amp;pid=explorer&amp;chrome=true&amp;srcid=0B6dKdxaNjBENMGYzY2EwMDAtZjg0My00MzY1LTlkNWMtYzcyYmVkMDdiYTZl&amp;hl=en_US</t>
  </si>
  <si>
    <t>Praphamontripong:icstw10</t>
  </si>
  <si>
    <t>Upsorn Praphamontripong, Jeff Offutt</t>
  </si>
  <si>
    <t xml:space="preserve">Mutation </t>
  </si>
  <si>
    <t>showing the number of mutants and mutation score for several objects SUTs</t>
  </si>
  <si>
    <t>evaluating the use of mutation to test web applications</t>
  </si>
  <si>
    <t>Avg. mutation score of 87% was acheived.</t>
  </si>
  <si>
    <t>representativeness of faults injected</t>
  </si>
  <si>
    <t>Faults in implemented tool</t>
  </si>
  <si>
    <t>webMuJava</t>
  </si>
  <si>
    <t>S14</t>
  </si>
  <si>
    <t>Automated Cross-Browser Compatibility Testing</t>
  </si>
  <si>
    <t>https://docs.google.com/viewer?a=v&amp;pid=explorer&amp;chrome=true&amp;srcid=0B6dKdxaNjBENYmIwMzQyNmItYTc3Mi00MGZhLThjOTMtZTYyMGZmNGYwMTA3&amp;hl=en_US</t>
  </si>
  <si>
    <t>Mesbah:icse2011</t>
  </si>
  <si>
    <t>aysu: is crossbrowser functional or nonfunctional requirement? Ali: this paper is proposing to treat crossbrowser compatibility as a functional requirement and it provides an automated solution/tool.</t>
  </si>
  <si>
    <t>Ali Mesbah and Mukul Prasad</t>
  </si>
  <si>
    <t>Canada, USA</t>
  </si>
  <si>
    <t># of mismatches found, # of false positive, and time taken by the proposed tehcnique CrossT and baseline XDiff</t>
  </si>
  <si>
    <t>To assess the efficacy and utility of the approach</t>
  </si>
  <si>
    <t>The results of our evaluation demonstrate the efficacy of the
CrossT approach in automatically exposing relevant cross-browser issues at a trace-level as well as at a screen-level, comprared to baseline technique XDiff.</t>
  </si>
  <si>
    <t>Use of 3rd party tools/libraries</t>
  </si>
  <si>
    <t>CrossT</t>
  </si>
  <si>
    <t>Organizer, Ind-v1, Ind-v2, Tmms, Cnn</t>
  </si>
  <si>
    <t>S15</t>
  </si>
  <si>
    <t>Automated identification of parameter mismatches in web applications</t>
  </si>
  <si>
    <t>https://docs.google.com/viewer?a=v&amp;pid=explorer&amp;chrome=true&amp;srcid=0B6dKdxaNjBENNDA1MTdkMjYtZDlmMC00ODUwLWFmYWYtYzA5NTEzYjkzYjNk&amp;hl=en_US</t>
  </si>
  <si>
    <t>Halfond:fse08</t>
  </si>
  <si>
    <t>I found this paper, referenced from this paper: Crawlability metrics for automated web testing</t>
  </si>
  <si>
    <t>William Halfond, Alessandro Orso</t>
  </si>
  <si>
    <t>FSE</t>
  </si>
  <si>
    <t>integration testing</t>
  </si>
  <si>
    <t>For RQ1: Efﬁciency, they measured the time taken to perform each step. For  RQ 2 - precision,  they measured the actual # of mismatches found by the tool and the # of false Posistives.</t>
  </si>
  <si>
    <t>The goal of the evaluation is to assess the RQ 1 efficincy and RQ 2 - precision. . To perform this assessment, we measured the time required to run our analysis and its accuracy in identifying parameter mismatches</t>
  </si>
  <si>
    <t>The tool was able to identify actual errors in all of the subjects</t>
  </si>
  <si>
    <t>waive</t>
  </si>
  <si>
    <t>Bookstore, Daffodil, Filelister, JWMA</t>
  </si>
  <si>
    <t xml:space="preserve"># classes: 28, 119, 41, 97-- #servlet classes: 25, 70, 10, 20 </t>
  </si>
  <si>
    <t>S16</t>
  </si>
  <si>
    <t xml:space="preserve">Automated oracle comparators for testing web applications  </t>
  </si>
  <si>
    <t>https://docs.google.com/viewer?a=v&amp;pid=explorer&amp;chrome=true&amp;srcid=0B6dKdxaNjBENY2NmODQzMmMtMDdmYi00YmU1LWI4OWMtZjY0MDVmNWVhODc1&amp;hl=en_US</t>
  </si>
  <si>
    <t>Sprenkle:issre07</t>
  </si>
  <si>
    <t xml:space="preserve">Sara Sprenkle, Lori Pollock, Holly Esquivel, Barbara Hazelwood, Stacey Ecott </t>
  </si>
  <si>
    <t>ISSRE</t>
  </si>
  <si>
    <t>(Figure 5) oracle/Comparators’ Precision and Recall in Failure Detection, and exeuction times in Section 5.3</t>
  </si>
  <si>
    <t>an evaluation of the effectiveness and costs of each individual and combination oracle comparator. recommendations to testers on automatic oracle comparators based on their application’s characteristics</t>
  </si>
  <si>
    <t>results from two experimental studies of the effectiveness and costs of individual and combination oracle comparators</t>
  </si>
  <si>
    <t>different behavior of browsers, 
representativeness of faults injected</t>
  </si>
  <si>
    <t>a conference website
(Masplas), an e-commerce bookstore (Book), a course
project manager (CPM), and a customized digital library (DSpace)</t>
  </si>
  <si>
    <t>Methods: 42, 385, 172, 1453-- Classes: 9, 11, 75, 274</t>
  </si>
  <si>
    <t>S17</t>
  </si>
  <si>
    <t>Automated Replay and Failure Detection for Web Applications</t>
  </si>
  <si>
    <t>https://docs.google.com/file/d/0Bw8z7TlbmHSJemZoWlVfeXdqQTA/edit</t>
  </si>
  <si>
    <t>Sprenkle:ase2005</t>
  </si>
  <si>
    <t>Table 2. Percent Statement Coverage, with
and without restoring state
Figure3 : CPM statement coverage, with and without restoring state
Table 3.Replay Time Per URL, Replay Time Per Session, Space for Replay
Figure 4,5,6,7 : Faults Reported in SUTs with/without State and Different Oracle Comparators</t>
  </si>
  <si>
    <t xml:space="preserve">for evaluating the effectiveness and practicality of replay technique and oracle comparator with measuring coverage and cost  metrics using two subject programs </t>
  </si>
  <si>
    <t>results suggest that a combination of with state and without state
replay covers more and different code than either technique alone.
different oracle comparators expose different kinds of code faults. A combination of the oracle comparator and the replay technique can be used to detect faults in different areas of code.</t>
  </si>
  <si>
    <t>simplicity of the SUTs
representativeness of seeded faults(given as external)</t>
  </si>
  <si>
    <t xml:space="preserve">not considering the severity of the faults </t>
  </si>
  <si>
    <t xml:space="preserve">representativeness of SUTs
</t>
  </si>
  <si>
    <t>Bookstore, course project manager (CPM)</t>
  </si>
  <si>
    <t>86 classes
557 methods
3082 conditionals</t>
  </si>
  <si>
    <t>S18</t>
  </si>
  <si>
    <t>Automated Session Data Repair for Web Application Regression Testing</t>
  </si>
  <si>
    <t>https://docs.google.com/viewer?a=v&amp;pid=explorer&amp;chrome=true&amp;srcid=0B6dKdxaNjBENN2RiOTRmYjQtMjlhMS00NzYwLWI2MmItZGMwZDdmYTg2MGRi&amp;hl=en_US</t>
  </si>
  <si>
    <t>Alshahwan:icst08</t>
  </si>
  <si>
    <t>I found this paper, referenced from this paper: Improving Web Application Testing Using Testability Measures</t>
  </si>
  <si>
    <t>Nadia Alshahwan, Mark Harman</t>
  </si>
  <si>
    <t>Saudi Arabia, UK</t>
  </si>
  <si>
    <t>Repairing old session data for testing</t>
  </si>
  <si>
    <t>reusable percentage of session data</t>
  </si>
  <si>
    <t>Figure 5. Reuse of URLs in Regression Testing. The percentage of all URLs that would be discarded with and without repair as the web application increasingly changes. ............ Figure 8. Relationship between Execution Times and Application Size</t>
  </si>
  <si>
    <t>Both a Effectiveness Study and a Scalability Study............. reports the results of experiments that explore both the performance and effectiveness of the approach</t>
  </si>
  <si>
    <t>The results show that the approach can be used to recover much of the value locked in otherwise unusable legacy web sessions, even over multiple evolutionary changes in which no new session data is created</t>
  </si>
  <si>
    <t>online bookstore: www.gotocode.com</t>
  </si>
  <si>
    <t>S19</t>
  </si>
  <si>
    <t>Automated web application testing using search based software engineering</t>
  </si>
  <si>
    <t>https://docs.google.com/file/d/0B6dKdxaNjBENOURlYjM2MHBUa0U/edit</t>
  </si>
  <si>
    <t>Alshahwan:ase11</t>
  </si>
  <si>
    <t>UK</t>
  </si>
  <si>
    <t>ASE</t>
  </si>
  <si>
    <t>B</t>
  </si>
  <si>
    <t>"compare branch coverage for each of the algorithms"
"we calculate the number of fitness evaluations needed per application and per branch. We also report the elapsed time and CPU time used in testing per application and per branch"
"we use an automated oracle to compare the fault finding ability of the test suites produced by each enhancement"</t>
  </si>
  <si>
    <t>empirical study of effectiveness and efﬁciency of our algorithms in terms of branch coverage of server-side code, ﬁtness evaluations, execution times and fault ﬁnding ability.</t>
  </si>
  <si>
    <t>presenting results concerning coverage, various measures of test effort and also an analysis of fault detection ability. Our tool detected an average of 60 faults and 424 warnings over all 6 applications studied.</t>
  </si>
  <si>
    <t>Dependence to database state and configuration</t>
  </si>
  <si>
    <t>SWAT</t>
  </si>
  <si>
    <t>FAQForge, Schoolmate, Webchess, PHPSysInfo, Timeclock, PHPBB2</t>
  </si>
  <si>
    <t>319 files</t>
  </si>
  <si>
    <t>S20</t>
  </si>
  <si>
    <t>Automating Coverage Metrics for Dynamic Web Applications</t>
  </si>
  <si>
    <t>https://docs.google.com/file/d/0Bw8z7TlbmHSJR2F6SUJ2Q21pT3M/edit</t>
  </si>
  <si>
    <t>Alalfi:csmr10</t>
  </si>
  <si>
    <t>Manar H. Alalfi, James Cordy, Thomas Dean</t>
  </si>
  <si>
    <t>Canada</t>
  </si>
  <si>
    <t>CSMR</t>
  </si>
  <si>
    <t>O</t>
  </si>
  <si>
    <t>DWASTIC</t>
  </si>
  <si>
    <t>PhpBB 2.0 and Moodle</t>
  </si>
  <si>
    <t>x, x</t>
  </si>
  <si>
    <t>S21</t>
  </si>
  <si>
    <t>Automating regression testing using web-based application similarities</t>
  </si>
  <si>
    <t>https://docs.google.com/viewer?a=v&amp;pid=explorer&amp;chrome=true&amp;srcid=0B6dKdxaNjBENM2E3Yjg2NTItMGRjMy00MTk0LTgzZTgtNzFjOGJkMzlmMDMx&amp;hl=en_US</t>
  </si>
  <si>
    <t>Dobolyi:sttt11</t>
  </si>
  <si>
    <t>Kinga Dobolyi, Elizabeth Soechting, Westley Weimer</t>
  </si>
  <si>
    <t>STTT</t>
  </si>
  <si>
    <t>precision, and recall</t>
  </si>
  <si>
    <t>precision, and recall values for SMART (the proposed approach), diff, xmldiff, and random approaches are given as baselines; diff represents current industrial practice (table 3)</t>
  </si>
  <si>
    <t>This paper approaches the problem of providing a highly precise oracle comparator for web-based application regression test output by proposing Smart, an approach that relies on surface features of web-based application output to determine whether or not human should inspect test case output pairs.    3 Experiments</t>
  </si>
  <si>
    <t>Our method is 2.5 to 50 times as accurate as current industrial practice, but requires no user annotations.</t>
  </si>
  <si>
    <t>error in human-based identification 
representativeness of faults seedied</t>
  </si>
  <si>
    <t>SMART</t>
  </si>
  <si>
    <t>?</t>
  </si>
  <si>
    <t>x,x,x</t>
  </si>
  <si>
    <t>S22</t>
  </si>
  <si>
    <t>Building test cases and oracles to automate the testing of web database applications</t>
  </si>
  <si>
    <t>https://docs.google.com/viewer?a=v&amp;pid=explorer&amp;chrome=true&amp;srcid=0B6dKdxaNjBENYmFmYmUwMDEtMGM1Yy00ZjBmLTg3NTMtMzgxODk4YWNjNmY1&amp;hl=en_US</t>
  </si>
  <si>
    <t>Ran:ist09</t>
  </si>
  <si>
    <t>Lihua Ran, Curtis Dyreson, Anneliese Andrews, Renée Bryce, Christopher Mallery</t>
  </si>
  <si>
    <t>Database Extended Finite State Machine (DEFSM)</t>
  </si>
  <si>
    <t>Fig. 10. Overhead on checking for updates: 
x-axis=Test Sequence Length
y-axis=seconds
Fig. 11. Increasing the size of the database.
x-axis=Number of Test Sequences
y-axis=seconds</t>
  </si>
  <si>
    <t>To evaluate the cost and utility of AutoDBT</t>
  </si>
  <si>
    <t>case studies show that the additional overhead of modeling the interactions of the application with the database is modest</t>
  </si>
  <si>
    <t>AutoDBT</t>
  </si>
  <si>
    <t>online car reservation, WSU’s IT student computing services, WSU’s eInfoCenter for current students, WSU’s ResNet self-certification web page, Mapquest</t>
  </si>
  <si>
    <t>Number of forms:1, 37, 11, 30, Number of logical web pages: 65, 88, 81, 14</t>
  </si>
  <si>
    <t>S23</t>
  </si>
  <si>
    <t>Bypass Testing of Web Applications</t>
  </si>
  <si>
    <t>https://docs.google.com/viewer?a=v&amp;pid=explorer&amp;chrome=true&amp;srcid=0B6dKdxaNjBENMTIyNmRiYTEtOGVhNi00YmQyLTk0NjYtYmFmMWUxNzhjNWFi&amp;hl=en_US</t>
  </si>
  <si>
    <t>Offutt:issre04</t>
  </si>
  <si>
    <t>aysu:input validation for security but could be used for other purposes</t>
  </si>
  <si>
    <t xml:space="preserve">Jeff Offutt, Ye Wu, Xiaochen Du, Hong Huang </t>
  </si>
  <si>
    <t>stis</t>
  </si>
  <si>
    <t>worked on 8 out of 17 jsp</t>
  </si>
  <si>
    <t>S24</t>
  </si>
  <si>
    <t>Clustering and Tailoring User Session Data for Testing Web Applications</t>
  </si>
  <si>
    <t>https://docs.google.com/viewer?a=v&amp;pid=explorer&amp;chrome=true&amp;srcid=0B6dKdxaNjBENMTYwNDc1ODctMDRlNi00MGE2LWIwZjItODEwMTk1YTdmYjQy&amp;hl=en_US</t>
  </si>
  <si>
    <t>Luo:icst09</t>
  </si>
  <si>
    <t>Xingmin Luo, Fan Ping, Mei-Hwa Chen</t>
  </si>
  <si>
    <t>Table 4 and 7. Results of test suite reduction
comparnig five techniques w.r.t. the # of test cases and # of requests
Table 5 and 8. Results of fault detection.
comparnig five techniques w.r.t. their mutation score
S_req=Harrold et al. [10] based on URL coverage as the requirement
S_con=concept analysis proposed by Sampath et al. [15]
S_ser= current work based on service oriented approach
S_ext: the test cases selected by Sser with additional requests
S_ori denote the original user-session data</t>
  </si>
  <si>
    <t xml:space="preserve">The objective of the first study was to investigate the effect of fault distribution on the fault detection rates of (1) the original user session data, (2) the reduced user session data by three different reduction approaches, (3) and the augmented user session data. ................. The second study was conducted on an industrial application with natural faults and the user sessions recorded during part of the beta release period. The purpose of this study was to investigate the feasibility of applying user session-based testing in practice. </t>
  </si>
  <si>
    <t>The existing reduction techniques only reduced a small portion of the requests from the original user sessions. Our clustering approach was able to reduce the number of requests and tests to 15% and achieve the same fault detection rate as the original user sessions. The test suite created with the augmentation   detected 99% of the faults in the system, demonstrating a great potential for effective testing of industrial web applications.</t>
  </si>
  <si>
    <t>Bookstore, caARRAY</t>
  </si>
  <si>
    <t>Bookstore: 29 JSP files, 8 database tables, caARRAY: 1300 java classes, 800 JSP
and HTML files, 210 tables</t>
  </si>
  <si>
    <t>S25</t>
  </si>
  <si>
    <t xml:space="preserve">Composing a Framework to Automate Testing of Operational Web-Based Software </t>
  </si>
  <si>
    <t>https://docs.google.com/viewer?a=v&amp;pid=explorer&amp;chrome=true&amp;srcid=0B6dKdxaNjBENYmUyMjNhNzgtYmE4MC00MGQ0LTk5YTUtN2I3NTlhNDEwZDdl&amp;hl=en_US</t>
  </si>
  <si>
    <t>Sampath:icsm04</t>
  </si>
  <si>
    <t xml:space="preserve">Sreedevi Sampath, Valentin Mihaylov, Amie Souter, Lori Pollock </t>
  </si>
  <si>
    <t>a Concept Analysis model called Lattice</t>
  </si>
  <si>
    <t>385 methods,11classes</t>
  </si>
  <si>
    <t>S26</t>
  </si>
  <si>
    <t>Constructing an Object-Oriented Architecture for Web Application Testing</t>
  </si>
  <si>
    <t>https://docs.google.com/viewer?a=v&amp;pid=explorer&amp;chrome=true&amp;srcid=0B6dKdxaNjBENNjhhNmE0MDctYWJiZC00NTI3LWIyODgtMGE4Nzg0MWZhMWI0&amp;hl=en_US</t>
  </si>
  <si>
    <t>Yang:jise02</t>
  </si>
  <si>
    <t>Ji-Tzay Yang, Jiun-Long Huang, Feng-Jian Wang, William Chu</t>
  </si>
  <si>
    <t>JISE</t>
  </si>
  <si>
    <t>Test architecture as UML models</t>
  </si>
  <si>
    <t>asp,vb</t>
  </si>
  <si>
    <t>S27</t>
  </si>
  <si>
    <t>Construction of the system dependence graph for Web application slicing</t>
  </si>
  <si>
    <t>https://docs.google.com/viewer?a=v&amp;pid=explorer&amp;chrome=true&amp;srcid=0B6dKdxaNjBENMjBhOGI4OTctZWIxNS00Y2Q1LTkzNmYtYTdjMTU1YmQ5NDFh&amp;hl=en_US</t>
  </si>
  <si>
    <t>Ricca:scam02</t>
  </si>
  <si>
    <t>aysu:test enabler</t>
  </si>
  <si>
    <t xml:space="preserve">SCAM </t>
  </si>
  <si>
    <t>reverse engineering in support of WAT</t>
  </si>
  <si>
    <t>online travel agency</t>
  </si>
  <si>
    <t>S28</t>
  </si>
  <si>
    <t>Coverage Criteria for Testing Web Applications</t>
  </si>
  <si>
    <t>https://docs.google.com/file/d/0BzWeYCv5rkkzNVk1U3VqX2xXaUE/edit</t>
  </si>
  <si>
    <t>Sampath:tReport2005</t>
  </si>
  <si>
    <t>serdar:dynamic coverage criteria</t>
  </si>
  <si>
    <t>memory space costs</t>
  </si>
  <si>
    <t>Reduction in Test Suite Size, Time Costs, Space Costs and Statement Coverage Loss, # Faults detected calculated for every SUT and every proposed coverage criteria compared.(Figure 6,7,8 Table 2,3) to evaluate the coverage criterias</t>
  </si>
  <si>
    <t>1. usefulness of user-session-based coverage information for longitudinal study of a web application’s changing usage profiles
2. usefulness of dynamic user-session-based coverage criteria for test suite selection by correlating coverage in terms of user session elements and program code, test suite REDUCTION/minization</t>
  </si>
  <si>
    <t xml:space="preserve">Classical test cov and mutation... 1. Using these graphs, testers can visualize the change in an application’s operational profile
and decide how to focus the testing effort. lattice. As the complexity of the coverage criteria increases, the time and space to select the test suite also increases. </t>
  </si>
  <si>
    <t>limited source of information to derive test artifacts
representativeness of seeded faults(given as external)</t>
  </si>
  <si>
    <t>Book, CPM(Course project manager)</t>
  </si>
  <si>
    <t>86 class
557 method</t>
  </si>
  <si>
    <t>S29</t>
  </si>
  <si>
    <t xml:space="preserve">Crawlability Metrics for Web Applications </t>
  </si>
  <si>
    <t>https://docs.google.com/file/d/0B6dKdxaNjBENVnhsbEhIVmhvcE0/edit</t>
  </si>
  <si>
    <t>Alshahwan:icst12</t>
  </si>
  <si>
    <t>Serdar: seems to be newer version of Marchetto:sttt11. This one is conferance paper. previous one is journal paper</t>
  </si>
  <si>
    <t>Nadia Alshahwan, Mark Harman, Alessandro Marchetto, Roberto Tiella, Paolo Tonella</t>
  </si>
  <si>
    <t>Italy, UK</t>
  </si>
  <si>
    <t>see Table 4 Evaluating the correlation among the crawlability metric results and DFOUT value</t>
  </si>
  <si>
    <t>to determine whether low crawlability values are associated with the existence of unexplored parts of a web application</t>
  </si>
  <si>
    <t xml:space="preserve">Crawlability metrics are good indicators of the presence of unexplored pages. (confirmed by the correlation between
crawlability metrics and DFOUT and by the accuracy of the classifier trained on crawlability metrics)
research hypothesis about the usefulness of conditioned slicing is only partially supported by the experimental results.
Such usefulness seems to be quite application-dependent
</t>
  </si>
  <si>
    <t xml:space="preserve">error in human-based identification
</t>
  </si>
  <si>
    <t>dependence on crawler’s capabilities,
dependence on definition of metrics.</t>
  </si>
  <si>
    <t>dependence on used statistical technique</t>
  </si>
  <si>
    <t>FAQForge, Webchess, News Pro, Timeclock</t>
  </si>
  <si>
    <t>135 files</t>
  </si>
  <si>
    <t>S30</t>
  </si>
  <si>
    <t>CrossCheck: Combining Crawling and Differencing to Better Detect Cross-Browser Incompatibilities in Web Applications</t>
  </si>
  <si>
    <t>https://docs.google.com/file/d/0B6dKdxaNjBENQ25FbzhwaDhTc00/edit</t>
  </si>
  <si>
    <t>Choudhary:icst12</t>
  </si>
  <si>
    <t>Serdar: cross browser incompatibility detection. It proposes a technique and tool. Similar previous one (Mesbah:icse2011) included as functional testing.</t>
  </si>
  <si>
    <t>Shauvik Choudhary, Mukul Prasad, Alessandro Orso</t>
  </si>
  <si>
    <t>Cross-Browser Incompatibility testing</t>
  </si>
  <si>
    <t>false positives (FPs) defects</t>
  </si>
  <si>
    <t>Evaluated the cross-browser differences (CBD) reported
by CROSSCHECK(Table 3.a). 
Compared the CBI results with two other applications. (WebDiff and CrossT)</t>
  </si>
  <si>
    <t>To assess the usefulness of CROSSCHECK to detect XBIs. set of experiments and compared the results
against the state of the art</t>
  </si>
  <si>
    <t>CROSSCHECK outperformed CROSST and WEBDIFF in their respective domains: (TL + SL) &gt;CROSSTconf and SL &gt; WEBDIFFconf , in most cases. The improvement over CROSST can be attributed to a better screen level matching. whereas the improvement over WEBDIFF is due to the use
of the machine learnt classifier for visual comparison.</t>
  </si>
  <si>
    <t>CrossCheck</t>
  </si>
  <si>
    <t>Restaurant, Organizer, GrantaBooks, DesignTrust, DivineLife, SaiBaba, Breakaway</t>
  </si>
  <si>
    <t xml:space="preserve">
77 states
211 transitions</t>
  </si>
  <si>
    <t>S31</t>
  </si>
  <si>
    <t xml:space="preserve">Data flow analysis and testing of JSP-based Web applications  </t>
  </si>
  <si>
    <t>https://docs.google.com/viewer?a=v&amp;pid=explorer&amp;chrome=true&amp;srcid=0B6dKdxaNjBENZTAxMzdhYzQtNDZiYi00ZWJhLWJiZjItMzVlZDMzZjc2NTdl&amp;hl=en_US</t>
  </si>
  <si>
    <t>Liu:ist06</t>
  </si>
  <si>
    <t>Chien-Hung Liu</t>
  </si>
  <si>
    <t>Taiwan</t>
  </si>
  <si>
    <t>Output</t>
  </si>
  <si>
    <t>S32</t>
  </si>
  <si>
    <t>Design verification of web applications using symbolic model checking</t>
  </si>
  <si>
    <t>https://docs.google.com/viewer?a=v&amp;pid=explorer&amp;chrome=true&amp;srcid=0B6dKdxaNjBENNjNhNjQ3MzUtMDllZC00YzI4LWJlZmQtYzc5OTFkNzM2YWQw&amp;hl=en_US</t>
  </si>
  <si>
    <t>Sciascio:icwe05</t>
  </si>
  <si>
    <t>Ali: weak evaluation</t>
  </si>
  <si>
    <t>Eugenio Di Sciascio, Francesco M. Donini, Marina Mongiello, Rodolfo Totaro, Daniela Castelluccia</t>
  </si>
  <si>
    <t>ICWE</t>
  </si>
  <si>
    <t>Input
Extract &amp; Use</t>
  </si>
  <si>
    <t>S33</t>
  </si>
  <si>
    <t>Detecting execution and html errrors in asp.net web applications</t>
  </si>
  <si>
    <t>https://docs.google.com/viewer?a=v&amp;pid=explorer&amp;chrome=true&amp;srcid=0B6dKdxaNjBENYmJkYjE3YWYtN2I0NC00ZGRiLTllZDAtNjA1MjhjZTdmMzE5&amp;hl=en_US</t>
  </si>
  <si>
    <t>Ozkinaci:icsoft11</t>
  </si>
  <si>
    <t xml:space="preserve">M.e. Ozkinaci, A.betin Can </t>
  </si>
  <si>
    <t>Turkey</t>
  </si>
  <si>
    <t xml:space="preserve">ICSOFT </t>
  </si>
  <si>
    <t>According to table 1, compared to Mamoste, manual testing found less HTML output defects while using more test cases. Moreover, Mamoste exercised more branching than manual</t>
  </si>
  <si>
    <t>Comparison of real faults detected by Manual Testing and the tool Mamoste</t>
  </si>
  <si>
    <t>compared to Mamoste, manual testing found less HTML outputs while using more test inputs.</t>
  </si>
  <si>
    <t>Mamoste</t>
  </si>
  <si>
    <t>Subset of SGB.net, system of Ministry of Finance of Turkey</t>
  </si>
  <si>
    <t>S34</t>
  </si>
  <si>
    <t>Do{DOM}: Leveraging {DOM} Invariants for {Web} 2.0 Application Robustness Testing</t>
  </si>
  <si>
    <t>https://docs.google.com/viewer?a=v&amp;pid=explorer&amp;chrome=true&amp;srcid=0B6dKdxaNjBENMzY0OGNmMDUtOTliOS00NTc0LWE4ZmYtYTA5OTUxYThjOTZi&amp;hl=en_US</t>
  </si>
  <si>
    <t>Pattabiraman:ISSRE10</t>
  </si>
  <si>
    <t>Ali: this is a very good paper on invariant detection for web testing</t>
  </si>
  <si>
    <t xml:space="preserve">Karthik Pattabiraman, Benjamin Zorn </t>
  </si>
  <si>
    <t>Replay web applications and extract their invariants dynamically over DOM</t>
  </si>
  <si>
    <t xml:space="preserve">Table V and VI: mutation score for each class of event errors and domain failures </t>
  </si>
  <si>
    <t>to evaluate DoDOM</t>
  </si>
  <si>
    <t>The invariants are found to provide high coverage in detecting errors that impact the DOM, with a low rate of false positives.</t>
  </si>
  <si>
    <t>representativeness of injected faults</t>
  </si>
  <si>
    <t>DoDOM</t>
  </si>
  <si>
    <t>Java Petstore, Slashdot, CNN</t>
  </si>
  <si>
    <t>#domains: 1, 5, 9 #events: 211, 13, 9 #DOM nodes: 398, 5162, 2417</t>
  </si>
  <si>
    <t>S35</t>
  </si>
  <si>
    <t>Dynamic model extraction and statistical analysis of Web applications</t>
  </si>
  <si>
    <t>https://docs.google.com/file/d/0Bw8z7TlbmHSJT2R4SlJhMTlEQ1U/edit</t>
  </si>
  <si>
    <t>Tonella:WSE2002</t>
  </si>
  <si>
    <t>aysu; static analysis (test enabler) then statistical testing (section 3.3)</t>
  </si>
  <si>
    <t>model extraction for enabling WAT</t>
  </si>
  <si>
    <t>S36</t>
  </si>
  <si>
    <t>Efficient JavaScript Mutation Testing</t>
  </si>
  <si>
    <t>https://docs.google.com/file/d/0Bw8z7TlbmHSJS1F5RWdjQ3QzWDg/edit</t>
  </si>
  <si>
    <t>Mesbah:icst2013</t>
  </si>
  <si>
    <t>aysu: not directly testing wa but evaulating test of wa</t>
  </si>
  <si>
    <t>mutation testing</t>
  </si>
  <si>
    <t>For assessing # of non-equivalent mutants, compare # of mutants, # of equivalent mutants, # of nonequivalent mutants, % of equivalent mutants, and the average bug severity as well as the % of the severity in terms of the maximum severity level(Table 8)
For assessing test cases, in addition to these metrics, # of killed mutants, % of Non-Equiv. Surviving mutants and mutation score also compared.</t>
  </si>
  <si>
    <t>To quantitatively assess the efficacy of their mutation
testing approach</t>
  </si>
  <si>
    <t>rq1-efficienct in generating non-equivalent mutants.(7% equivalent)
-the importance of FunctionRank metric in the fault seeding process.
rq2-effective in generating mutants that cause non-trivial errors in JavaScript application:bug severity is 72% on average.   Proposed approach is able to guide testers towards designing test cases for important portions of the code from the application’s behaviour point of view.</t>
  </si>
  <si>
    <t>error in human-based identification</t>
  </si>
  <si>
    <t>representativeness of SUTs
lack of comparision to other studies</t>
  </si>
  <si>
    <t>MUTANDIS</t>
  </si>
  <si>
    <t>SameGame, Tunnel, GhostBusters, Symbol, TuduList, SimpleCart(library), JQUERY(library)</t>
  </si>
  <si>
    <t>385 func.
628 local vars
106 global vars
393 cyclomatic c.</t>
  </si>
  <si>
    <t>S37</t>
  </si>
  <si>
    <t>Eliminating Navigation Errors in Web Applications via Model Checking and Runtime Enforcement of Navigation State Machines</t>
  </si>
  <si>
    <t>https://docs.google.com/viewer?a=v&amp;pid=explorer&amp;chrome=true&amp;srcid=0B6dKdxaNjBENMjgzMTQ4ZDMtYzUyNy00ZGRjLTg4MGEtNTVhY2NiZmY3NmRh&amp;hl=en_US</t>
  </si>
  <si>
    <t>Ettema:ase10</t>
  </si>
  <si>
    <t>Sylvain Halle, Taylor Ettema, Chris Bunch, Tevfik Bultan</t>
  </si>
  <si>
    <t>model checking</t>
  </si>
  <si>
    <t>Figure5, Figure6 compare the processing time and #of fault identified with and without the plugin</t>
  </si>
  <si>
    <t xml:space="preserve">To evaluate the validity of proposed approach and its efficiency by meausiring the brought CPU overhead </t>
  </si>
  <si>
    <t>showed that the navigation state machines presented
can help relieve errors coused by unexpected navigation sequences by restricting the control-flow of an application to sequences intended by the developer</t>
  </si>
  <si>
    <t>NSMplugin</t>
  </si>
  <si>
    <t>Digitalus, BambooInvoice, Capstone</t>
  </si>
  <si>
    <t>2,1,3 modules respectively.14,9,12 controllers, 60,26,33actions</t>
  </si>
  <si>
    <t>S38</t>
  </si>
  <si>
    <t>Empirical Validation of a Web Fault Taxonomy and its usage for Fault Seeding</t>
  </si>
  <si>
    <t>https://docs.google.com/viewer?a=v&amp;pid=explorer&amp;chrome=true&amp;srcid=0B6dKdxaNjBENNDRkNzE2YzgtZjA1OC00YzY5LWIxOTItYWJmNjI3OWYyNTkx&amp;hl=en_US</t>
  </si>
  <si>
    <t>Marchetto:wse07</t>
  </si>
  <si>
    <t>Alessandro Marchetto, Filippo Ricca, Paolo Tonella</t>
  </si>
  <si>
    <t>Fault Taxonomy</t>
  </si>
  <si>
    <t>Doing 4 iterations  for refining the taxonomy of faults</t>
  </si>
  <si>
    <t>bottom-up validation and refinement of the initial taxonomy, based on real bugs that have been classified according to the taxonomy categories</t>
  </si>
  <si>
    <t>1.the taxonomy looks well balanced and classes were judged accurate enough (browser incompatibility fault is the largest class.)
2.classification performance of the taxonomy was very good, with only 5 (%1.3) unclassified bugs
3.Confidence of classification was 96.2% and agreement between the two classifiers was also very high: 85%
4.a large proportion of the bug reported forWeb applications areWeb-specific.</t>
  </si>
  <si>
    <t>small number of classifiers</t>
  </si>
  <si>
    <t>subjectivity in bug classification</t>
  </si>
  <si>
    <t>rely on interpretation of metrics
rely on human based classification</t>
  </si>
  <si>
    <t xml:space="preserve">representativeness of bug dataset
</t>
  </si>
  <si>
    <t>Utopia News Pro 1.3.0</t>
  </si>
  <si>
    <t>6 files</t>
  </si>
  <si>
    <t>S39</t>
  </si>
  <si>
    <t>Evaluating Current Testing Processes of Web-Portal Applications</t>
  </si>
  <si>
    <t>https://docs.google.com/viewer?a=v&amp;pid=explorer&amp;chrome=true&amp;srcid=0B6dKdxaNjBENZmU2ZjQ2ZmUtMTg5My00NzM3LWJmYTAtYTA1MTk3NWVlNDZm&amp;hl=en_US</t>
  </si>
  <si>
    <t>Bajwa:icwe05</t>
  </si>
  <si>
    <t>aysu:experience report, does not need evaluation</t>
  </si>
  <si>
    <t>Harpreet Bajwa, Wenliang Xiong, Frank Maurer</t>
  </si>
  <si>
    <t>S40</t>
  </si>
  <si>
    <t>Finding bugs in dynamic web applications</t>
  </si>
  <si>
    <t>https://docs.google.com/viewer?a=v&amp;pid=explorer&amp;chrome=true&amp;srcid=0B6dKdxaNjBENZjc2ZjM5ZTEtYjBhMS00MmJiLTg5NjYtYTk2MDViYWE1ZGU4&amp;hl=en_US</t>
  </si>
  <si>
    <t>Artzi:issta08</t>
  </si>
  <si>
    <t>Shay Artzi, Adam Kiezun, Julian Dolby, Frank Tip, Danny Dig, Amit Paradkar</t>
  </si>
  <si>
    <t>ISSTA</t>
  </si>
  <si>
    <t>comparing the coverage, # of execution and validation faults identified, with randomized testing</t>
  </si>
  <si>
    <t xml:space="preserve">measured the effectiveness of Apollo in finding
faults in PHP Web applications. type, number and severity of discovered faults, line coverage achieved, input minimization results evaluated. </t>
  </si>
  <si>
    <t>Apollo achieves over 50% line coverage, found 214 faults in SUTs also minimizes the size of failure-inducing inputs: the minimized inputs are up to 5.3× smaller than the unminimized ones</t>
  </si>
  <si>
    <t>inadequate bug location report</t>
  </si>
  <si>
    <t>lack of comparision to other studies</t>
  </si>
  <si>
    <t>Apollo</t>
  </si>
  <si>
    <t>faqforge, webchess, schoolmate, phpsysinfo</t>
  </si>
  <si>
    <t>#files: 19, 24, 63, 73 - PHP LOC: 734, 2226, 4263, 7745</t>
  </si>
  <si>
    <t>S41</t>
  </si>
  <si>
    <t>Framework testing of web applications using {TTCN}-3</t>
  </si>
  <si>
    <t>https://docs.google.com/viewer?a=v&amp;pid=explorer&amp;chrome=true&amp;srcid=0B6dKdxaNjBENMGQzZDgxZWYtZTc2Yi00YzgyLWIyZGEtZDQyMmMyYjEwY2Nj&amp;hl=en_US</t>
  </si>
  <si>
    <t>Stepien:sttt08</t>
  </si>
  <si>
    <t>Bernard Stepien, Liam Peyton, Pulei Xiong</t>
  </si>
  <si>
    <t>S42</t>
  </si>
  <si>
    <t>From formal requirements to automated web testing and prototyping</t>
  </si>
  <si>
    <t>https://docs.google.com/viewer?a=v&amp;pid=explorer&amp;chrome=true&amp;srcid=0B6dKdxaNjBENZjFhMzJjMmYtZjBjNy00NzkyLWFkZjktMjNlMWUxMDU5N2E3&amp;hl=en_US</t>
  </si>
  <si>
    <t>Matos:isse10</t>
  </si>
  <si>
    <t>Ali: this is a tool paper</t>
  </si>
  <si>
    <t>Ernesto Cid Brasil de Matos, Thiago C. Sousa</t>
  </si>
  <si>
    <t>Brazil</t>
  </si>
  <si>
    <t>ISSE</t>
  </si>
  <si>
    <t>NoName</t>
  </si>
  <si>
    <t>a simple example only</t>
  </si>
  <si>
    <t>S43</t>
  </si>
  <si>
    <t>Guided Test Generation for Web Applications</t>
  </si>
  <si>
    <t>https://docs.google.com/file/d/0Bw8z7TlbmHSJby1DVGpKMFhhV0k/edit</t>
  </si>
  <si>
    <t>Thummalapenta:icse2013</t>
  </si>
  <si>
    <t xml:space="preserve">
</t>
  </si>
  <si>
    <t>St, Tr, Path</t>
  </si>
  <si>
    <t>"compared the effectiveness of WATEG in covering business rules with two other techniques: a technique based on structural coverage and an undirected crawling technique" (rules covered, rules triggered, antecedent observed)(see Fig7)
Also compared the efficiency of three techniques on # of states and transitions, paths traversed and time taken in minutes.</t>
  </si>
  <si>
    <t>comparision of effectiveness of WATEG (proposed tool) in covering business rules with two other techniques: a technique based on structural coverage and an undirected crawling technique.
and investigating the efficiency of the three techniques comparing # of States, # of Transitions, # of Paths covered and Time.</t>
  </si>
  <si>
    <t xml:space="preserve"> Our experiments showed that the former was able to cover 92% of the rules, compared to 52% of the rules covered by the latter.               The proposed tool WATEG achieved high rule coverage by exercising fewer paths. But alternative tool Kpath+ covers more paths. results, highlight the benefit of refining the state-transition diagram in a goal-oriented manner, which avoids the exploration of paths that are irrelevant for rule coverage. 
However, WATEG does not perform well if there exist many candidate paths that observe rule variables, but only a few among them actually cover the rule.</t>
  </si>
  <si>
    <t>WATEG</t>
  </si>
  <si>
    <t>BookStore, Classifieds, Events, iTrust, Tudu</t>
  </si>
  <si>
    <t>263 servlets
60 Business Rules</t>
  </si>
  <si>
    <t>S44</t>
  </si>
  <si>
    <t>Hybrid Test of Web Applications with Webtest</t>
  </si>
  <si>
    <t>https://docs.google.com/viewer?a=v&amp;pid=explorer&amp;chrome=true&amp;srcid=0B6dKdxaNjBENZWQwOWI5ZWMtMGY3Mi00ZTg3LTlkZjMtNDAwYTM4Nzk3NTky&amp;hl=en_US</t>
  </si>
  <si>
    <t>Raffelt:tav08</t>
  </si>
  <si>
    <t>Vahid: Strage terminology: "replay-testing (static testing) with automata learning techniques that generate models of black box systems (dynamic testing)."</t>
  </si>
  <si>
    <t>harald Raffelt, Bernhard Steffen , Tiziana Margaria , Maik Merten</t>
  </si>
  <si>
    <t>Germany</t>
  </si>
  <si>
    <t>TAV-WEB</t>
  </si>
  <si>
    <t>webtest</t>
  </si>
  <si>
    <t>mantis bug tracker</t>
  </si>
  <si>
    <t>207 php files</t>
  </si>
  <si>
    <t>S45</t>
  </si>
  <si>
    <t>Improving Test Case Generation for Web Applications Using Automated Interface Discovery</t>
  </si>
  <si>
    <t>https://docs.google.com/viewer?a=v&amp;pid=explorer&amp;chrome=true&amp;srcid=0B6dKdxaNjBENMWNiNjA2ZDMtMDk5Mi00MTdlLThjOTUtNTk2MmRjY2JiNjY0&amp;hl=en_US</t>
  </si>
  <si>
    <t>Halfond:esec07</t>
  </si>
  <si>
    <t>W. Halfond, Alessandro Orso</t>
  </si>
  <si>
    <t>B, BL</t>
  </si>
  <si>
    <t># of interfaces discovered</t>
  </si>
  <si>
    <t>compare wam’s performance with the performance of an
approach based on web crawling (spider, hereafter).
Table 2: Number of interfaces identified.
Table 3: Test criteria coverage achieved using the spider-based and the wam-based test generation approaches.</t>
  </si>
  <si>
    <t>to assess the usefulness of their approach they compare their tool's performance with the performance of an approach based on web crawling (spider, hereafter)</t>
  </si>
  <si>
    <t>The evaluation showed that using the discovered interfaces and domain information to guide test input generation led to a significantly higher coverage than test input generation based on the results of conventional web-crawling techniques.</t>
  </si>
  <si>
    <t xml:space="preserve">
Dependence on 3rd party tools/libraries</t>
  </si>
  <si>
    <t xml:space="preserve">
inadequacy of test input generation strategy</t>
  </si>
  <si>
    <t>WAM</t>
  </si>
  <si>
    <t>java based apps: BookStore, Checkers, Classifieds, Employee Dir, Events, Office talk, Portal</t>
  </si>
  <si>
    <t># servlets 28, 33, 19, 11, 13, 38, 28</t>
  </si>
  <si>
    <t>S46</t>
  </si>
  <si>
    <t xml:space="preserve">Improving Web Application Testing Using Testability Measures  </t>
  </si>
  <si>
    <t>https://docs.google.com/viewer?a=v&amp;pid=explorer&amp;chrome=true&amp;srcid=0B6dKdxaNjBENNzFjODRmYzUtMzAyZC00ZWNkLWJiM2QtZmI5YzQ0ZjY2Njkx&amp;hl=en_US</t>
  </si>
  <si>
    <t>Alshahwan:wse09</t>
  </si>
  <si>
    <t>Nadia Alshahwan, Mark Harman, Ro Marchetto, Paolo Tonell</t>
  </si>
  <si>
    <t>measuring Testability</t>
  </si>
  <si>
    <t>Expert testers classify the forms as easy to test or hard to test and the tool calculate the testability metrics. Then these results are compared. (See Table 2)</t>
  </si>
  <si>
    <t>To evaluate the effectiveness of proposed tool by observing and comparing the obtained measures to the
expert evaluation</t>
  </si>
  <si>
    <t>Most of the forms rated easy to test have a low number of unbounded fields possible number of input combinations seems to have not affected the human rater’s judgement of ‘subjective testability’</t>
  </si>
  <si>
    <t>Web Application Testability Tool (WATT)</t>
  </si>
  <si>
    <t>34 forms taken from 14 real world web applications</t>
  </si>
  <si>
    <t>S47</t>
  </si>
  <si>
    <t xml:space="preserve">Integrating customized test requirements with traditional requirements in web application testing  </t>
  </si>
  <si>
    <t>https://docs.google.com/viewer?a=v&amp;pid=explorer&amp;chrome=true&amp;srcid=0B6dKdxaNjBENMDdlYzZmMzUtYTMxNC00OTU2LTgzZDMtZDM2OWVhYjgxZDM1&amp;hl=en_US</t>
  </si>
  <si>
    <t>Sampath:tav06</t>
  </si>
  <si>
    <t>Figure 1,2,3: # of customized requirements covered by each test suite vs. # of detected faults.
Figure 4: % of original test cases vs total requests for reduced suites
Figure 5,6: statement coverage and  % of faults detected for reduced suites
Figure 7,8,9: 4,5,6 for Modified HGS reduction technique</t>
  </si>
  <si>
    <t>empirically evaluating the effectiveness of the reduced
suites by combination of traditional coverage-based requirements with usage-based requirements and modified test suite reduction algorithm of Harrold et al. (HGS) [7],</t>
  </si>
  <si>
    <t>By augmenting HGS with customized
requirements as tie breakers, in general, able to create
reduced test suites that were more effective than HGSmethod
reduced suites in terms of program coverage and
fault detection</t>
  </si>
  <si>
    <t xml:space="preserve">representativeness of faults injected
</t>
  </si>
  <si>
    <t>representativeness of SUTs, 
small size of test suite</t>
  </si>
  <si>
    <t>course project manager (CPM)</t>
  </si>
  <si>
    <t># Classes: 75
# Methods: 172 #Statements: 6966</t>
  </si>
  <si>
    <t>S48</t>
  </si>
  <si>
    <t>Invariant-based automatic testing of AJAX user interfaces</t>
  </si>
  <si>
    <t>https://docs.google.com/file/d/0B6dKdxaNjBENemJKM1EwY3pkXzg/edit</t>
  </si>
  <si>
    <t>Mesbah:icse11</t>
  </si>
  <si>
    <t>Ali Mesbah, Arie van Deursen</t>
  </si>
  <si>
    <t>Netherlands</t>
  </si>
  <si>
    <t>Table 1. TUDU case study: reporting final code coverage and mutation score, manual effort in minutes and execution time of the tool.  Study 2 was able to Find 6 Real-Life Bugs</t>
  </si>
  <si>
    <t>to evaluate the fault revealing capabilities, scalability, required manual effort and level of automation of our approach.</t>
  </si>
  <si>
    <t>quantitative and qualitative result regarding fault revealing capabilities, scalability, required manual effort and level of automation of our approach were provided</t>
  </si>
  <si>
    <t>Dependence on 3rd party tools/libraries
representativeness of faults injected</t>
  </si>
  <si>
    <t>ATUSA</t>
  </si>
  <si>
    <t>Tudo, Coachjezelf, TheOrganizer, TaskFreak, Tunnel, HitList</t>
  </si>
  <si>
    <t>3K forms</t>
  </si>
  <si>
    <t>S49</t>
  </si>
  <si>
    <t xml:space="preserve">Invariant-Based Automatic Testing of Modern Web Applications </t>
  </si>
  <si>
    <t>https://docs.google.com/file/d/0Bw8z7TlbmHSJc0VRc3dxZDV2NW8/edit</t>
  </si>
  <si>
    <t>Mesbah:tse2012</t>
  </si>
  <si>
    <t>aysu: #44 in SM pool "substantially expanded and revised version of [28]"  where [28] is #44 in SM pool</t>
  </si>
  <si>
    <t>St</t>
  </si>
  <si>
    <t>num of DOM violations</t>
  </si>
  <si>
    <t>measure code coverage on the client as well as the presentation tier of the server and also measured the percentage of injected faults detected(see table 6). They also evaluate the scalability of the approach and manual effort required(see section 9.6)</t>
  </si>
  <si>
    <t>Our goal in this experiment is to evaluate the fault revealing
capabilities, scalability, required manual effort, and level of
automation of our approach</t>
  </si>
  <si>
    <t>. Generated crawl overview helps program comprehension.
. Invariants can be used to find DOM memory leaks, crossbrowser inconsistencies, and regressions.
. Help to reveal generic faults, such as DOM violations, automatically.
. Generated test suite gives useful code coverage: %73 of server side presentation code, %75 client side
. The performance and scalability of the crawling and testing process is very acceptable
. Reveal bugs that are likely to occur during AJAX development and are difficult to detect manually.
. Application-specific invariants can help to document and test the essence of an AJAX application.
. The manual effort is minimal.</t>
  </si>
  <si>
    <t>need more real world studies</t>
  </si>
  <si>
    <t>TheOrganizer, TaskFreak, HitList, ThjeTunnel, Coachjezelf, TUDU</t>
  </si>
  <si>
    <t>S50</t>
  </si>
  <si>
    <t xml:space="preserve"> JSART: JavaScript Assertion-based Regression Testing</t>
  </si>
  <si>
    <t>https://docs.google.com/file/d/0Bw8z7TlbmHSJTzlEZGxmTTJtRHc/edit</t>
  </si>
  <si>
    <t>Shabnam Mirshokraie, Ali Mesbah</t>
  </si>
  <si>
    <t xml:space="preserve">Precision , Recall </t>
  </si>
  <si>
    <t>-calculate the number of stable invariant assertions
-measure the precision and recall values using generated stable assersions on fault injected SUTs
-measure the extra time needed to execute the application while assertion checks are in place</t>
  </si>
  <si>
    <t>To quantitatively assess the accuracy and ef?ciency of our approach, we have conducted</t>
  </si>
  <si>
    <t>The results show that our approach is able to effectively generate stable assertions and detect JAVASCRIPT regression faults with a high degree of accuracy and minimal performance overhead.</t>
  </si>
  <si>
    <t>JSART</t>
  </si>
  <si>
    <t>SameGame, Tunnel, TicTacToe, Symbol, ResizeMe, GhostBusters, ResizeMe, Jason, Sofa, TuduList</t>
  </si>
  <si>
    <t>363 funtions
383 local vars
108 global vars</t>
  </si>
  <si>
    <t>S51</t>
  </si>
  <si>
    <t>Leveraging User-Privilege Classification to Customize Usage-based Statistical Models of Web Applications</t>
  </si>
  <si>
    <t>https://docs.google.com/file/d/0B6dKdxaNjBENRVJqcEtUb0RvVnc/edit</t>
  </si>
  <si>
    <t>Sprenkle:icst12</t>
  </si>
  <si>
    <t xml:space="preserve">Sara Sprenkle, Camille Cobb, Lori Pollock </t>
  </si>
  <si>
    <t>generate RRN and RRNV models, measured the number of nodes and edges, compared these sizes to the size of the general-usage model to understand the amount of size reduction gained by using the user sessions classified by privilege as input(Figure 2,3)
representative / representative new unique RRN sequence coverage compared.</t>
  </si>
  <si>
    <t>Whether User-Privilege Classification of Usage-based Statistical Models would improve test cost effectiveness</t>
  </si>
  <si>
    <t xml:space="preserve">Our results suggest that grouping user sessions by the users’ privileges results in smaller navigation models, which yield realistic test cases that represent users with that privilege well while also exploring navigations not seen in the input user sessions. In some cases, the user-privilege-speciﬁc models are signiﬁcantly smaller, which allows the tester to either (a) generate relatively few test cases and still represent the user type well or (b) create test cases from a less abstract model—without exorbitant model space costs or the need for additional models to generate executable test cases. </t>
  </si>
  <si>
    <t>Automatically generated inputs</t>
  </si>
  <si>
    <t>Book, CPM, Logic, Logicv2, DSpace</t>
  </si>
  <si>
    <t>619 class, 19,000 user sessions</t>
  </si>
  <si>
    <t>S52</t>
  </si>
  <si>
    <t>Leveraging User-Session Data to Support Web Application Testing</t>
  </si>
  <si>
    <t>https://docs.google.com/viewer?a=v&amp;pid=explorer&amp;chrome=true&amp;srcid=0B6dKdxaNjBENNzQyNjQwOWItNzQ1Mi00YzE5LWJhMzctZGRlNWFhNWY4MDcw&amp;hl=en_US</t>
  </si>
  <si>
    <t>Elbaum:tse05</t>
  </si>
  <si>
    <t>Sebastian Elbaum, Gregg Rothermel, Srikanth Karre, Marc Fisher</t>
  </si>
  <si>
    <t>F, BL</t>
  </si>
  <si>
    <t xml:space="preserve">COMPREHENSIVE EMP RESULTS. See Section 4.4. final cov % and mutation score after applying each of the 7 techniques. To better understand the differences between techniques, we also analyzed results for differences and commonalities. Table 4 presents a detailed comparison of the most powerful white box and BB tehcniques. For RQ 3: Figure 5 shows Relationship between number of user sessions collected and effectiveness of US-1.
</t>
  </si>
  <si>
    <t xml:space="preserve">independent variable is testing technique, see Table 1, 7 techniques, see below.
two dependent variables: Coverage, Fault detection effectiveness
White box:
WB-1 Simplest Ricca and Tonella implementation [30] 
WB-2 WB-1 with boundary values 
User-session:
US-1 Direct reuse of user sessions 
US-2 Combining different user sessions 
US-3 Reusing user sessions with form modiﬁcations 
Hybrid:
HYB-1 Partially satisfying testing requirements with user session data 
HYB-2 Satisfying testing requirements with user session data and tester input </t>
  </si>
  <si>
    <t>WB-2 (WB-2 WB-1 with boundary values ) provided the greatest code coverage with 76% and 99% of the blocks and functions covered, respectively. ............ US-3 provided the greatest fault detection capabilities with 63% of the faults detected,</t>
  </si>
  <si>
    <t>representativeness of injected faults, 
not consdiering  all important metrics</t>
  </si>
  <si>
    <t>representativeness of SUTs, 
interaction style of web app users</t>
  </si>
  <si>
    <t>online bookstore</t>
  </si>
  <si>
    <t>customer side of the application-- # perl files: 9 #perl modules: 3 #functions: 67 #blocks: 399</t>
  </si>
  <si>
    <t>S53</t>
  </si>
  <si>
    <t>MDA and Analysis of Web Applications</t>
  </si>
  <si>
    <t>https://docs.google.com/viewer?a=v&amp;pid=explorer&amp;chrome=true&amp;srcid=0B6dKdxaNjBENYzgxYjRjOWEtOGFkOC00MDBlLTk4ZmEtOWI2M2Y0MDkzMThk&amp;hl=en_US</t>
  </si>
  <si>
    <t>Bordbar:teaa06</t>
  </si>
  <si>
    <t>Vahid: static verification, not testing</t>
  </si>
  <si>
    <t>Behzad Bordbar, Kyriakos Anastasakis</t>
  </si>
  <si>
    <t>TEAAWEB</t>
  </si>
  <si>
    <t xml:space="preserve">a new model called Abstract Description of Interaction (ADI), UML model of business logic, </t>
  </si>
  <si>
    <t>Input
Extract &amp; Use 
Output</t>
  </si>
  <si>
    <t>S54</t>
  </si>
  <si>
    <t>Measuring and modeling usage and reliability for statistical Web testing</t>
  </si>
  <si>
    <t>https://docs.google.com/viewer?a=v&amp;pid=explorer&amp;chrome=true&amp;srcid=0B6dKdxaNjBENMWMxZWJlNzgtZDNiMi00YTEyLWFiNGUtN2JiNzEwMThmNWVh&amp;hl=en_US</t>
  </si>
  <si>
    <t>Kallepalli:tse01</t>
  </si>
  <si>
    <t>C. Kallepalli, J. Tian</t>
  </si>
  <si>
    <t xml:space="preserve">UMMs (Unified Markov Models) </t>
  </si>
  <si>
    <t>reliability and statistical testing</t>
  </si>
  <si>
    <t>statistical/ probablistic</t>
  </si>
  <si>
    <t>reliability growth</t>
  </si>
  <si>
    <t>MTBF, reliability</t>
  </si>
  <si>
    <t xml:space="preserve">analysis with the Goel-Okumoto reliability growth model shows that statistical Web testing over these 26 days would have reduced the number of defects by 66.7 percent, thus improving the reliability by about the same amount. </t>
  </si>
  <si>
    <t>See Sec 5.6 A Hypothetical Evaluation of the Effectiveness of Usage-Based Testing</t>
  </si>
  <si>
    <t>See "Type of cost effectiveness analysis"</t>
  </si>
  <si>
    <t>www.seas.smu.edu</t>
  </si>
  <si>
    <t>S55</t>
  </si>
  <si>
    <t>Model-Based Testing of Thin-Client Web Applications and Navigation Input</t>
  </si>
  <si>
    <t>https://docs.google.com/viewer?a=v&amp;pid=explorer&amp;chrome=true&amp;srcid=0B6dKdxaNjBENMTI4ZTJhMmEtNDE5Ny00MDA3LTg4MzgtMGJhMDBjMTVmYzk3&amp;hl=en_US</t>
  </si>
  <si>
    <t>Koopman:padl08</t>
  </si>
  <si>
    <t>Pieter Koopman, Peter Achten, Rinus Plasmeijer</t>
  </si>
  <si>
    <t>PADL</t>
  </si>
  <si>
    <t>guessing game in iData-library;Base Converter</t>
  </si>
  <si>
    <t>S56</t>
  </si>
  <si>
    <t>Model-Based Testing of Web Applications using NModel</t>
  </si>
  <si>
    <t>https://docs.google.com/viewer?a=v&amp;pid=explorer&amp;chrome=true&amp;srcid=0B6dKdxaNjBENZDQ4YmI4ZWQtNzY0OC00ZDExLWFiYzMtMTY5YTkwNzQ2NDYw&amp;hl=en_US</t>
  </si>
  <si>
    <t>Ernits:testcom09</t>
  </si>
  <si>
    <t>Juhan Ernits, Rivo Roo, Jonathan Jacky,, Margus Veanes</t>
  </si>
  <si>
    <t>UK, USA</t>
  </si>
  <si>
    <t>TESTCOM/FATES</t>
  </si>
  <si>
    <t>workforce management WFM</t>
  </si>
  <si>
    <t>S57</t>
  </si>
  <si>
    <t>Modeling Consumer-Perceived Web Application Fault Severities for Testing</t>
  </si>
  <si>
    <t>https://docs.google.com/viewer?a=v&amp;pid=explorer&amp;chrome=true&amp;srcid=0B6dKdxaNjBENNTZiZjVjNTUtYmM1Zi00NjllLWExOWUtNmRiZDBkMzgzZDg4&amp;hl=en_US</t>
  </si>
  <si>
    <t>Dobolyi:issta10</t>
  </si>
  <si>
    <t>Kinga Dobolyi, Westley Weimer</t>
  </si>
  <si>
    <t>Modeling fault severity</t>
  </si>
  <si>
    <t>comparing the Accuracy of 5 alternatives:
Manual Decision Tree 
Individual human (avg)
Always Average Rating 
Always Median Rating 
C4.5 Decision Tree</t>
  </si>
  <si>
    <t>to analyze the precision of the Automated Predictive model</t>
  </si>
  <si>
    <t>The fully automated conservative model correctly identiﬁes 55% of non-severe faults without missing any severe faults.</t>
  </si>
  <si>
    <t>representativeness of injected faults, 
representativeness of human subjects, 
error in human-based identification</t>
  </si>
  <si>
    <t>written in Java, ASP.NET, and PHP</t>
  </si>
  <si>
    <t>S58</t>
  </si>
  <si>
    <t>Modeling presentation layers of web applications for testing</t>
  </si>
  <si>
    <t>https://docs.google.com/viewer?a=v&amp;pid=explorer&amp;chrome=true&amp;srcid=0B6dKdxaNjBENZmFmZTM4YjctMmIyNy00YzYzLTlmNjQtMzMzYTBiMDA2ZmE5&amp;hl=en_US</t>
  </si>
  <si>
    <t>Offutt:sosym10</t>
  </si>
  <si>
    <t>Jeff Offutt, Ye Wu</t>
  </si>
  <si>
    <t>SoSYM</t>
  </si>
  <si>
    <t>17 jsp, 5 java bean classes</t>
  </si>
  <si>
    <t>S59</t>
  </si>
  <si>
    <t>Modeling the HTML DOM and Browser API in Static Analysis of JavaScript Web Applications</t>
  </si>
  <si>
    <t>https://docs.google.com/file/d/0Bw8z7TlbmHSJV1lodEp5M0tjVjQ/edit</t>
  </si>
  <si>
    <t>Jensen:esec11</t>
  </si>
  <si>
    <t>static analysis of javascript</t>
  </si>
  <si>
    <t>Simon Holm Jensen, Magnus Madsen, Anders Møller</t>
  </si>
  <si>
    <t>Denmark</t>
  </si>
  <si>
    <t>Static analysis</t>
  </si>
  <si>
    <t>showing that .....analysis time is reasonable (max 50 seconds)......tool is able to find dead code operations</t>
  </si>
  <si>
    <t>Whether the tool able to show absence of errors and to detect dead and unreachable code?</t>
  </si>
  <si>
    <t>our model is sufficient to show absence of errors and to detect dead and unreachable code. In addition, we evaluate the precision of the types and call graphs inferred by the analysis (Section 5)</t>
  </si>
  <si>
    <t>extension of the pre-existing TAJS analysis tool</t>
  </si>
  <si>
    <t xml:space="preserve">JavaScript web applications (see Table 1). Benchmark programs are drawn from Chrome Experiments, Internet Explorer 9 Test Drive and the 10K Apart Challenge. </t>
  </si>
  <si>
    <t>#basic blocks: between 100 and 4000</t>
  </si>
  <si>
    <t>S60</t>
  </si>
  <si>
    <t>Modeling Web Applications and Generating Tests: A Combination and Interactions-guided Approach</t>
  </si>
  <si>
    <t>https://docs.google.com/file/d/0Bw8z7TlbmHSJWGxiNkxBRkZaNEE/edit</t>
  </si>
  <si>
    <t>Song:tase2009</t>
  </si>
  <si>
    <t>V: only examples. poor evaluation</t>
  </si>
  <si>
    <t>model (FSM) extraction for enabling WAT--aysu: generate test sequences</t>
  </si>
  <si>
    <t>S61</t>
  </si>
  <si>
    <t xml:space="preserve">Perturbation-based user-input-validation testing of web applications </t>
  </si>
  <si>
    <t>https://docs.google.com/viewer?a=v&amp;pid=explorer&amp;chrome=true&amp;srcid=0B6dKdxaNjBENMzIxYWRiMTgtZDJjMi00ZDg5LThmZGYtMTgyY2U3MDBlOTNm&amp;hl=en_US</t>
  </si>
  <si>
    <t>Li:jss10</t>
  </si>
  <si>
    <t>Nuo Li, Tao Xie, Maozhong Jin, Chao Liu</t>
  </si>
  <si>
    <t>USA, China</t>
  </si>
  <si>
    <t>JSS</t>
  </si>
  <si>
    <t>apply perturbation operators on a benchmark web application with 20 seeded UIV vulnerabilities, compared to testing it with web-application scanners. Table3 compares fault detection results.</t>
  </si>
  <si>
    <t>to analyze popular web-application scanners to show their limitations on testing UIV of web applications, and present the comparison of PIUIVT and vulnerability scanners of web applications.</t>
  </si>
  <si>
    <t>complements web-application scanners by detecting more types of vulnerabilities. PIUIVT detects more semantic-related UIV vulnerabilities.</t>
  </si>
  <si>
    <t>faults in implemented tool
Dependence on 3rd party tools/libraries</t>
  </si>
  <si>
    <t>PIUIVT</t>
  </si>
  <si>
    <t>member registration page of Mvnforum, a benchmark web application created by the authors</t>
  </si>
  <si>
    <t>Mvnforum: #input fields: 31, #selection list/check box: 9</t>
  </si>
  <si>
    <t>S62</t>
  </si>
  <si>
    <t>POGen: A Test Code Generator Based on Template Variable Coverage in Gray-Box Integration Testing for Web Applications</t>
  </si>
  <si>
    <t>http://www.slideshare.net/exKAZUu/pogen-a-test-code-generator-based-on-template-variable-coverage-in-graybox-integration-testing-for-web-applications</t>
  </si>
  <si>
    <t>Sakamoto:fase2013</t>
  </si>
  <si>
    <t>aysu: voted based on presentation slides. V: slides= http://www.slideshare.net/exKAZUu/pogen-a-test-code-generator-based-on-template-variable-coverage-in-graybox-integration-testing-for-web-applications</t>
  </si>
  <si>
    <t>-correlation between template variable coverage and ratio of killed mutants (Slide16)
-lines of generated test code vs hand written test code,(Slide17)
-time to write test cases w/wo their tool(Slide18)
-# of checked variable fragments w/wo their tool(Slide18)</t>
  </si>
  <si>
    <t>Checking the correlating between template variable coverage and the capability of test to detect defects.
Evaluating the effectiveness of proposed technique.</t>
  </si>
  <si>
    <t xml:space="preserve">Positive correlation, reduction of costs </t>
  </si>
  <si>
    <t>POGen</t>
  </si>
  <si>
    <t>S63</t>
  </si>
  <si>
    <t>Practical fault localization for dynamic web applications</t>
  </si>
  <si>
    <t>https://docs.google.com/viewer?a=v&amp;pid=explorer&amp;chrome=true&amp;srcid=0B6dKdxaNjBENMGUyNWNmZWQtNWVmNy00NGE0LWJlNWItZWU2NGI2MGUyOTJk&amp;hl=en_US</t>
  </si>
  <si>
    <t>Artzi:icse10</t>
  </si>
  <si>
    <t>Ali: is fault localization part of testing or debugging?</t>
  </si>
  <si>
    <t>Shay Artzi, Julian Dolby, Frank Tip, Marco Pistoia</t>
  </si>
  <si>
    <t>fault localization</t>
  </si>
  <si>
    <t>L</t>
  </si>
  <si>
    <t>Table 2 lists the total # of failures and the corresponding faults which were localized using the proposed technique. Out of 750 total failuures, 75 faults were localizaed.   
Table 3: Results of fault localization using the different fault localization techniques. effectivenss metric=the average number of statements to inspect, and average percentage  Also Figure 4, in which X-axis: percentage of statements that need to be inspected, and, Y-axis: percentage of faults.</t>
  </si>
  <si>
    <t>to study effective of Tarantula [14] fault localization technique in the domain of PHP web applications</t>
  </si>
  <si>
    <t>Our ﬁndings indicate that, using our best technique, 87.7% of the faults under consideration are localized to within 1% of all executed statements, which constitutes an almost ﬁve-fold improvement over the Tarantula algorithm.</t>
  </si>
  <si>
    <t>PHP programs: faqforge, webchess, schoolmate, timeclock</t>
  </si>
  <si>
    <t>#files: 19, 24, 63, 62</t>
  </si>
  <si>
    <t>S64</t>
  </si>
  <si>
    <t>Precise Interface Identification to Improve Testing and Analysis of Web Applications</t>
  </si>
  <si>
    <t>https://docs.google.com/viewer?a=v&amp;pid=explorer&amp;chrome=true&amp;srcid=0B6dKdxaNjBENZTliM2Q1NzQtZDc4Ny00Mjg2LWE4MDMtNTc5YTg0YWJkNDEy&amp;hl=en_US</t>
  </si>
  <si>
    <t>halfond:issta'09</t>
  </si>
  <si>
    <t>William G.J. Halfond, Saswat Anand, Alessandro Orso</t>
  </si>
  <si>
    <t>interface identification</t>
  </si>
  <si>
    <t>BL, B</t>
  </si>
  <si>
    <t>Precision, Usefulness</t>
  </si>
  <si>
    <t>For RQ1: Efﬁciency, Table 3 shows Analysis time. the results show that wam-se is the third fastest technique for interface identification than wam-df. 
For RQ2: Precision, we measured the number of interfaces identified by each approach 
For RQ3: Usefulness=To answer this question, we modified three quality assurance techniques so that they could work with the interface information provided by the four different proaches considered. 
1-Invocation Verification
2-Penetration Testing
3-Test-Input Generation</t>
  </si>
  <si>
    <t>to assess the efficiency, precision, and usefulness of our approach for interface identi tion. To do this we compared wam-se against three other approaches:  wam-df, spider, and dfw</t>
  </si>
  <si>
    <t>In our empirical evaluation, we show that the set of interfaces idenfied by our approach is more accurate than those identified by other approaches. We also show that this increased accuracy leads to improvements in several important quality assurance techniques for web applications: test-input gener ation, penetration testing, and invocation verification.</t>
  </si>
  <si>
    <t>WAM-SE</t>
  </si>
  <si>
    <t>Bookstore, Classieds, Employee Directory, Events</t>
  </si>
  <si>
    <t>#classes: 28, 18, 11, 13</t>
  </si>
  <si>
    <t>S65</t>
  </si>
  <si>
    <t>Prioritizing User-Session-Based Test Cases for Web Application Testing</t>
  </si>
  <si>
    <t>https://docs.google.com/viewer?a=v&amp;pid=explorer&amp;chrome=true&amp;srcid=0B6dKdxaNjBENMWY4MzJlN2YtOWE4NS00YWEyLThkODQtOGM5YzQyMTg4ZTI4&amp;hl=en_US</t>
  </si>
  <si>
    <t>Sampath:icst08</t>
  </si>
  <si>
    <t xml:space="preserve">Sreedevi Sampath, Rene Bryce, Gokulanand Viswanath, Vani Kandimalla, A Gunes Koru </t>
  </si>
  <si>
    <t>Test Case Prioritization</t>
  </si>
  <si>
    <t xml:space="preserve">Test Case Prioritization </t>
  </si>
  <si>
    <t>Independent variables in our study are the user-session-based test suites, the seeded faults and the test case prioritization techniques.
Dependent variables are rate of fault detection, average percent of faults detected (APFD) [24], and test execution time.
Figure 3. Rate of fault detection. x-ax: test suite size, y-ax: mutation score</t>
  </si>
  <si>
    <t>effectiveness of the prioritization strategies by evaluating their fault detection rate"finding the most faults in the earlier tests""</t>
  </si>
  <si>
    <t>depending on the tester’s goal and the characteristics of the
web applications, different prioritization strategies may be
useful to a tester. If a tester’s primary goal is to ﬁnd 100%
of the faults as soon as possible, prioritization by 2-way
and PV-LtoS are good choices.(systematically covering parameter-values).   if a web application
has a large number of parameter-values ,use the systematic coverage of parameter-value interaction metrics. no particular tester preference, then that longer
test cases achieve better fault detection than shorter test
cases. our results indicate that choosing a prioritization
technique can have a big time, and thus cost, impact.</t>
  </si>
  <si>
    <t>Time costs depends on case,
Error in oracle comperators
representativeness of seeded faults(given as external)</t>
  </si>
  <si>
    <t xml:space="preserve">representativeness of SUTs, </t>
  </si>
  <si>
    <t>book,cpm, masplas</t>
  </si>
  <si>
    <t>125,890,169 test cases to prioritize</t>
  </si>
  <si>
    <t>S66</t>
  </si>
  <si>
    <t>Regression Testing Ajax Applications: Coping with Dynamism</t>
  </si>
  <si>
    <t>https://docs.google.com/viewer?a=v&amp;pid=explorer&amp;chrome=true&amp;srcid=0B6dKdxaNjBENZjAzYjU5ODItM2VjYy00MWFjLTkzYzgtODhlZDBlODQyNmVl&amp;hl=en_US</t>
  </si>
  <si>
    <t>Roest:2010.icst</t>
  </si>
  <si>
    <t>Danny Roest, Ali Mesbah, Arie van Deursen</t>
  </si>
  <si>
    <t>false positives and false negatives</t>
  </si>
  <si>
    <t>To measure the effectiveness, we analyze the observed false positives and false negatives in our case studies. A false positive is a mistakenly reported fault that is caused by dynamic nondeterministic behavior. A false negative is an undetected real fault that is missed by the oracle comparator.
To address RQ2, we report the time spent on parts that required manual work.
NUMBER OF REPORTED STATE DIFFERENCES (SD, false positives) WITH AND WITHOUT ELEMENT RESOLVER (ER) AND ORACLE COMPARATOR PIPELINING</t>
  </si>
  <si>
    <t>To assess the usefulness and effectiveness of our approach,</t>
  </si>
  <si>
    <t xml:space="preserve">The generic comparators help in reducing the number of false positives (up to 55%), but they certainly cannot resolve all differences when dealing with extremely dynamic applications such as GOOGLE READER. </t>
  </si>
  <si>
    <t>Initial results affecting subsequent ones</t>
  </si>
  <si>
    <t>ATUSA, and Crawljax</t>
  </si>
  <si>
    <t>HitList, GOOGLE R EADER</t>
  </si>
  <si>
    <t>11,75,9 classes;319,173,22 methods; 1720,1260,108 condition</t>
  </si>
  <si>
    <t>S67</t>
  </si>
  <si>
    <t>Rich Internet Application Testing Using Execution Trace Data</t>
  </si>
  <si>
    <t>https://docs.google.com/viewer?a=v&amp;pid=explorer&amp;chrome=true&amp;srcid=0B6dKdxaNjBENYzRmNzcwMGMtYjdlNi00MmI2LTgyMTEtYzBlYjZkODU3YTYz&amp;hl=en_US</t>
  </si>
  <si>
    <t>Amalfitano:icstw10</t>
  </si>
  <si>
    <t>Domenico Amalfitano, Anna Rita Fasolino, Porfirio Tramontana</t>
  </si>
  <si>
    <t>TESTBEDS</t>
  </si>
  <si>
    <t>S, F</t>
  </si>
  <si>
    <t>Measuring the final values of the metric for the nine techniques. Tables 1-5</t>
  </si>
  <si>
    <t>See RQs</t>
  </si>
  <si>
    <t>The experimental results showed the feasibility of the technique and that its effectiveness can be improved by hybrid approaches that combine both manually and automatically obtained execution traces of the application.</t>
  </si>
  <si>
    <t>CreRIA, CrawlRIA, Test Case Generator,
Test Case Reducer, DynaRIA</t>
  </si>
  <si>
    <t>Tudu</t>
  </si>
  <si>
    <t>S68</t>
  </si>
  <si>
    <t>Scalability issues with using FSMWeb to test web applications</t>
  </si>
  <si>
    <t>https://docs.google.com/viewer?a=v&amp;pid=explorer&amp;chrome=true&amp;srcid=0B6dKdxaNjBENZTdmMjI1NTItYTNhZi00NTRjLTg4MmQtNWQ1ZjMwZWMyNzI0&amp;hl=en_US</t>
  </si>
  <si>
    <t>Andrews:ist10</t>
  </si>
  <si>
    <t>Anneliese a. Andrews, Jeff Offutt, Curtis Dyreson, Christopher J. Mallery, Kshamta Jerath, Roger Alexander</t>
  </si>
  <si>
    <t>Test model (FSM) size metrics</t>
  </si>
  <si>
    <t>Measuring Test model (FSM) size metrics for 2 case studies and reporting overall reduction in the number of states, and overall reduction in the number of transitions in FSM using the proposed solution that uses constraints on the inputs to reduce the number of transitions,</t>
  </si>
  <si>
    <t>This paper evaluates a solution that uses constraints on the inputs to reduce the number of transitions, thus compressing the FSM. The paper presents an analysis of the potential savings of the compression technique and reports actual savings from two case studies.</t>
  </si>
  <si>
    <t>Both case studies show substantial savings by using the FSMWeb modeling technique over traditional FSMs for the modeling of web applications.  "These values lead to a 99.97% overall reduction in the number of states, and a 99.93% overall reduction in the number of transitions."</t>
  </si>
  <si>
    <t>FSMweb</t>
  </si>
  <si>
    <t xml:space="preserve"> Washington state IT student computing sys,WSU InfoCenter</t>
  </si>
  <si>
    <t>169 links, 1 form, 6 input,377 transitions,65logicalpage;---218links,37 forms,133inputs,88logical pages</t>
  </si>
  <si>
    <t>S69</t>
  </si>
  <si>
    <t>State-Based Testing of Ajax Web Applications</t>
  </si>
  <si>
    <t>https://docs.google.com/viewer?a=v&amp;pid=explorer&amp;chrome=true&amp;srcid=0B6dKdxaNjBENNTlkNTFkZjItODgxYS00YTI1LWEzMDMtZWNlNDE1M2ZiMThi&amp;hl=en_US</t>
  </si>
  <si>
    <t>Marchetto:icst08</t>
  </si>
  <si>
    <t xml:space="preserve">Alessandro Marchetto, Paolo Tonella, Filippo Ricca </t>
  </si>
  <si>
    <t>For RQ1: Size reduction, # of TCs are reported in Table 2. Semantic sequences and reduction
For RQ2: Faults revealed, Table 3 shows the mutation score
RQ3: Traces needed for FSM construction: Figure 4: x-axis=logs used, y-axis: coverage %</t>
  </si>
  <si>
    <t>The main aim of this experiment is to study the advantages, effectiveness and effort involved in the proposed testing technique, compared to test cases generated according to the FSM path coverage criteria.</t>
  </si>
  <si>
    <t>Our case study shows that semantic sequences are a fraction of all sequences of the same length. The fault exposing power of semantic sequences grows with their length.</t>
  </si>
  <si>
    <t>FSMinstrumentor, FSMExtractor, FSMTestCaseGenerator</t>
  </si>
  <si>
    <t>S70</t>
  </si>
  <si>
    <t>Talking about a Mutation-Based Reverse Engineering for Web Testing: A Preliminary Experiment</t>
  </si>
  <si>
    <t>https://docs.google.com/viewer?a=v&amp;pid=explorer&amp;chrome=true&amp;srcid=0B6dKdxaNjBENNTg3NTJmYzQtYjlmMC00OGQ1LWI2NWItNWZkMDRkMDE1ZDQ2&amp;hl=en_US</t>
  </si>
  <si>
    <t>Marchetto:sera08</t>
  </si>
  <si>
    <t>Ali: very preliminarily results</t>
  </si>
  <si>
    <t>Alessandro Marchetto</t>
  </si>
  <si>
    <t>SERA</t>
  </si>
  <si>
    <t>P</t>
  </si>
  <si>
    <t>"two well known techniques used in model-based testing are selected to be compared with the mutation-based one" (user-choose, random selection of scenario and inputs)
two kinds of mutation are considered(basic and a PHP specific one) 
Comparing page and path coverage results of three techniques (see table 3,4,5,6)</t>
  </si>
  <si>
    <t>evaluate quality of revere engineered models.AND give
an estimation of the testing eﬀort required for testing
an application using its model built applying diﬀerent
reverse engineering approaches</t>
  </si>
  <si>
    <t>code mutation can be eﬀective if it is customized to the development languages and that, as expected, it adds some inaccuracy to the reverse engineered models the built models can be reﬁned by testers during the testing phase since the ratio of the added inaccuracy is quite limited.</t>
  </si>
  <si>
    <t xml:space="preserve">Selection of criteria to generate test articats </t>
  </si>
  <si>
    <t>Not considering all types of effort spent</t>
  </si>
  <si>
    <t xml:space="preserve">representativeness of SUTs. </t>
  </si>
  <si>
    <t>PHP applications: Password Protection,  Headless HorseMP3, PHPPageProtect, AmyQ, EasyPassword, Show Pictures, Administrator, CMail, Workflow</t>
  </si>
  <si>
    <t># classes:15, 12, 29, 7, 10, 10, 23, 7, 95-- avg McCabe number: 12, 26, 77, 8, 3, 21, 21, 9, 17</t>
  </si>
  <si>
    <t>S71</t>
  </si>
  <si>
    <t>Testing AJAX functionality with UniTESK</t>
  </si>
  <si>
    <t>https://docs.google.com/viewer?a=v&amp;pid=explorer&amp;chrome=true&amp;srcid=0B6dKdxaNjBENNmIyNzRlNWYtNzI2Ny00MzBhLTk3YjctY2JjODkzNTA2NDFi&amp;hl=en_US</t>
  </si>
  <si>
    <t>Gerlits:syrcose10</t>
  </si>
  <si>
    <t>Yevgeny Gerlits</t>
  </si>
  <si>
    <t>Russia</t>
  </si>
  <si>
    <t>SYRCoSE</t>
  </si>
  <si>
    <t>web application-- developed by the authors according to 8 Ajax design pattern.</t>
  </si>
  <si>
    <t>S72</t>
  </si>
  <si>
    <t>Static approximation of dynamically generated Web pages</t>
  </si>
  <si>
    <t>https://docs.google.com/viewer?a=v&amp;pid=explorer&amp;chrome=true&amp;srcid=0B6dKdxaNjBENNWVlMDg4YmMtNThmNS00OTk2LWJlMmYtNmI5NzViYjk1OTQy&amp;hl=en_US</t>
  </si>
  <si>
    <t>Minamide:www05</t>
  </si>
  <si>
    <t>Yasuhiko Minamide</t>
  </si>
  <si>
    <t>Japan</t>
  </si>
  <si>
    <t>WWW</t>
  </si>
  <si>
    <t>no-name analyzer</t>
  </si>
  <si>
    <t>webchess, schoolmate, faqforge, phpwims, timeclock, tagit</t>
  </si>
  <si>
    <t>S73</t>
  </si>
  <si>
    <t>Statically locating web application bugs caused by asynchronous calls</t>
  </si>
  <si>
    <t>https://docs.google.com/viewer?a=v&amp;pid=explorer&amp;chrome=true&amp;srcid=0B6dKdxaNjBENOTdlNzdhYjAtNjIyNy00Nzc5LWFjYWItNzUxYWZkNWE5ZmVi&amp;hl=en_US</t>
  </si>
  <si>
    <t>Zheng:www11</t>
  </si>
  <si>
    <t>Yunhui Zheng, Tao Bao, Xiangyu Zhang</t>
  </si>
  <si>
    <t>fault lolization, Static analysis</t>
  </si>
  <si>
    <t>test rules</t>
  </si>
  <si>
    <t>Chat, AjaxLogin, Tixean chat, Rogozhka chat, Phormer, Quizzy, Ajallerix, Ajax File Browser, www.msn.com</t>
  </si>
  <si>
    <t>JS LOC: 138, 517, 596, 951, 1755, 5165, 3927, 3776, 3921 #files: 5, 2, 11, 34, 6, 8, 16, 204, 1</t>
  </si>
  <si>
    <t>S74</t>
  </si>
  <si>
    <t>Statistical testing of web applications</t>
  </si>
  <si>
    <t>https://docs.google.com/viewer?a=v&amp;pid=explorer&amp;chrome=true&amp;srcid=0B6dKdxaNjBENNzUyYTQ4YTYtNDg3NS00ZGQ3LTk0MzgtMzE4OGJkYzM1ZjBj&amp;hl=en_US</t>
  </si>
  <si>
    <t>Tonella:jsme04</t>
  </si>
  <si>
    <t>JSME</t>
  </si>
  <si>
    <t>idc</t>
  </si>
  <si>
    <t>TestWeb</t>
  </si>
  <si>
    <t>ITC-publication (http://publications.itc.it/)</t>
  </si>
  <si>
    <t>2046 sessions</t>
  </si>
  <si>
    <t>S75</t>
  </si>
  <si>
    <t>Structural testing of Web applications</t>
  </si>
  <si>
    <t>https://docs.google.com/file/d/0BzWeYCv5rkkzUThMS3dwR090Nm8/edit</t>
  </si>
  <si>
    <t>Liu;ISSR2000</t>
  </si>
  <si>
    <t>eBid</t>
  </si>
  <si>
    <t>6 page</t>
  </si>
  <si>
    <t>S76</t>
  </si>
  <si>
    <t>Testing input validation in Web applications through automated model recovery</t>
  </si>
  <si>
    <t>https://docs.google.com/viewer?a=v&amp;pid=explorer&amp;chrome=true&amp;srcid=0B6dKdxaNjBENYWM4YmM5NWYtNmNlMi00MjUwLWFmZWQtOTBkOGIxYjhjNGVj&amp;hl=en_US</t>
  </si>
  <si>
    <t>Liu:jss08</t>
  </si>
  <si>
    <t>Hui Liu, Hee Beng Kuan Tan</t>
  </si>
  <si>
    <t>Singapore</t>
  </si>
  <si>
    <t>validation ﬂow graph (VFG)</t>
  </si>
  <si>
    <t>Comparing the # of detected faults and Input Validation Coverage (IVC) of test suites created by two groups; one using functional testing through requirements and other using the proposed path based IVC and condition-based IVC with the aid of their tool TIVT.(See Table 3 and 4)</t>
  </si>
  <si>
    <t>1) hypotesis testing on 16 suts  see 2properties on page 4    2)checking existence of input validation on 8 suts 3) feasibility and eﬀectiveness of the two proposed coverage criteria for input validation on Smacs case(80 files, 13462loc) and ResaleOnline(107 files, 11540loc)</t>
  </si>
  <si>
    <t>implementation of input validation is neglected 29 of 157 input programs did not do it. 2) based on the two proposed coverage criteria, the testing of input
validation implemented in a system can be more systematic and thorough.  3)hypothesis test: both
Properties 1 and 2 hold for equal or more than 99% of the cases at 5% level of signiﬁcance.</t>
  </si>
  <si>
    <t xml:space="preserve"> TIVT (Tool for Input Validation Testing)</t>
  </si>
  <si>
    <t>Roomba, JavaLibrary, Smacs, Bugtracker, JspShop, ART, NMS, StudentRecord (Webmaster), OnlineMarket, SubjectRegister, FriendsMatch, EasyBooking, TransportClaim, ResaleOnline, PersonalBlog, FlowerShop</t>
  </si>
  <si>
    <t>1161 web pages</t>
  </si>
  <si>
    <t>S77</t>
  </si>
  <si>
    <t>Testing Processes of Web Applications</t>
  </si>
  <si>
    <t>https://docs.google.com/viewer?a=v&amp;pid=explorer&amp;chrome=true&amp;srcid=0B6dKdxaNjBENNTIzMDBjOWItNTYxMS00ZDFhLTk4MDYtNjM1MjRiMGJjMGY5&amp;hl=en_US</t>
  </si>
  <si>
    <t>Ricca:ase02</t>
  </si>
  <si>
    <t>Ali: Similar to item 30 by the same authors.</t>
  </si>
  <si>
    <t>usage ofthe process described and the tools ReWeb and TestWeb tools on a real world application</t>
  </si>
  <si>
    <t>1 real error is detected "During the testing activity of FS-online, execution of the test cases highlighted an undesired, anomalous behavior, that could have gone unnoticed in a less formalized testing environment."</t>
  </si>
  <si>
    <t>testweb</t>
  </si>
  <si>
    <t>fs-online:trenitalia.it</t>
  </si>
  <si>
    <t>4 forms,4 serverprograms,4 dynamic and 1 static page</t>
  </si>
  <si>
    <t>S78</t>
  </si>
  <si>
    <t>Testing Web Applications</t>
  </si>
  <si>
    <t>https://docs.google.com/viewer?a=v&amp;pid=explorer&amp;chrome=true&amp;srcid=0B6dKdxaNjBENZWUxYTYyZTktYjQ2Ni00NzVhLWI3NTItZjE1MzhmMmFiOWQ1&amp;hl=en_US</t>
  </si>
  <si>
    <t>Mansour:ist06</t>
  </si>
  <si>
    <t>Ali: provides an overview of different techniques</t>
  </si>
  <si>
    <t>Nashat Mansour, Manal Houri</t>
  </si>
  <si>
    <t>Lebanon</t>
  </si>
  <si>
    <t>ToDoList:2cs2aspx file</t>
  </si>
  <si>
    <t>S79</t>
  </si>
  <si>
    <t>https://docs.google.com/viewer?a=v&amp;pid=explorer&amp;chrome=true&amp;srcid=0B6dKdxaNjBENNmFjMTU2YWItMjc5OS00MGFmLWIxNjItYTEyNWRkOTgxYTZk&amp;hl=en_US</t>
  </si>
  <si>
    <t>Lucca:icsm02</t>
  </si>
  <si>
    <t>Giuseppe Antonio Di Lucca, Anna Rita Fasolino, F Faralli</t>
  </si>
  <si>
    <t>UML class diagram of each ASP page</t>
  </si>
  <si>
    <t>asp</t>
  </si>
  <si>
    <t>WAT</t>
  </si>
  <si>
    <t>201 files:55html,19asp</t>
  </si>
  <si>
    <t>S80</t>
  </si>
  <si>
    <t>Testing web applications by modeling with {FSM}s</t>
  </si>
  <si>
    <t>https://docs.google.com/viewer?a=v&amp;pid=explorer&amp;chrome=true&amp;srcid=0B6dKdxaNjBENYTE5Njk5MWQtY2E0Mi00ZWE3LTg2YWItZTEwM2E3N2U3ODc5&amp;hl=en_US</t>
  </si>
  <si>
    <t>Andrews:sosym05</t>
  </si>
  <si>
    <t xml:space="preserve">Anneliese Andrews, Jeff Offutt, R Alexander </t>
  </si>
  <si>
    <t>FSMWeb</t>
  </si>
  <si>
    <t>course student info sys</t>
  </si>
  <si>
    <t>19 functionality/service</t>
  </si>
  <si>
    <t>S81</t>
  </si>
  <si>
    <t>TestUml: user-metrics driven Web Applications testing</t>
  </si>
  <si>
    <t>https://docs.google.com/viewer?a=v&amp;pid=explorer&amp;chrome=true&amp;srcid=0B6dKdxaNjBENODBlY2EzYTMtYzE1ZC00MjQxLWJjN2QtZDUwM2YyZWEzMGJm&amp;hl=en_US</t>
  </si>
  <si>
    <t>Bellettini:sac05</t>
  </si>
  <si>
    <t>I found this one, referenced in this paper: Improving Web Application Testing Using Testability Measures</t>
  </si>
  <si>
    <t>Carlo Bellettini, Alessandro Marchetto, Andrea Trentini</t>
  </si>
  <si>
    <t>SAC</t>
  </si>
  <si>
    <t>TestUml</t>
  </si>
  <si>
    <t>2 pages, 4 classes</t>
  </si>
  <si>
    <t>S82</t>
  </si>
  <si>
    <t>UCM-Driven Testing of Web Applications</t>
  </si>
  <si>
    <t>https://docs.google.com/viewer?a=v&amp;pid=explorer&amp;chrome=true&amp;srcid=0B6dKdxaNjBENNWEzNGNiYjQtMTUwMC00ZDY2LTkyNzctM2JmNmQ4YTE4NzJj&amp;hl=en_US</t>
  </si>
  <si>
    <t>Amyot:sdl05</t>
  </si>
  <si>
    <t>Ali: weak paper</t>
  </si>
  <si>
    <t>Daniel Amyot, Jean-François Roy, Michael Weiss</t>
  </si>
  <si>
    <t>SDL Forum</t>
  </si>
  <si>
    <t>UCM2FIT</t>
  </si>
  <si>
    <t>widgets.com</t>
  </si>
  <si>
    <t>4 use cases</t>
  </si>
  <si>
    <t>S83</t>
  </si>
  <si>
    <t>Usage-based statistical testing of web applications</t>
  </si>
  <si>
    <t>https://docs.google.com/viewer?a=v&amp;pid=explorer&amp;chrome=true&amp;srcid=0B6dKdxaNjBENMmVkZjI1ZjYtM2E0Ni00NDIzLThkZjQtNDUyOWY0Y2QwNTNl&amp;hl=en_US</t>
  </si>
  <si>
    <t>Hao:icwe06</t>
  </si>
  <si>
    <t>Vahid: The paper also reports a brief literature review (in its Table 1). It then proposes a novel idea</t>
  </si>
  <si>
    <t>Jianhua Hao, Emilia Mendes</t>
  </si>
  <si>
    <t>New Zealand</t>
  </si>
  <si>
    <t>reliability testing (MTBF)</t>
  </si>
  <si>
    <t xml:space="preserve">MTBF: reliability </t>
  </si>
  <si>
    <t>Analysis of the multiple set UMMs for experiments 1 and 2, and
the reports generated by FastStats</t>
  </si>
  <si>
    <t>is UMM suitable for usage models?</t>
  </si>
  <si>
    <t>users’ navigation patterns and associated frequencies, and Web application
behaviors are encoded into UMMs. We confirmed that UMMs are
suitable and adequate to be used as usage models for statistical
Web application testing. 2) it is essential to have multiple UMMs</t>
  </si>
  <si>
    <t>University of Auckland’s Computer Science Web application</t>
  </si>
  <si>
    <t>S84</t>
  </si>
  <si>
    <t>User-session-based automatic test case generation using GA</t>
  </si>
  <si>
    <t>https://docs.google.com/file/d/0Bw8z7TlbmHSJai10S2x0LTRIMUU/edit</t>
  </si>
  <si>
    <t>Peng:ijps2011</t>
  </si>
  <si>
    <t>Serdar: automated test case generation based on user session data. Has a rich empirical evaluation section</t>
  </si>
  <si>
    <t xml:space="preserve">RDG (request dependence graph) </t>
  </si>
  <si>
    <t>Fig 6: comparing performance (fitness, request coverage, data dependence transition relation coverage, link dependence transition relation coverage) of chromosomes in each generation.
Fig.7: comparing three kinds of transition relation coverage from maximal, average and minimal levels.
Table 2: Test suite reduction performance; aspects of test suite size (requests, unique requests, and three types of transition relations coverage) vs test suite generation approaches
Table 3: Fault detection performance; # of faults identified vs test suite generation approaches</t>
  </si>
  <si>
    <t>to evaluate the validity and effectiveness of our US-RDG approach to generate test cases for web application testing and compare it with two other approaches</t>
  </si>
  <si>
    <t>results indicated that our approach was better than the traditional user-session-based testing, in that it attained a higher path coverage and fault detection rate within small size of the test suite.             ------------------ two other approaches were applied to generate test cases based on user sessions: 
ACON, proposed by Sampath et al. (2007), applied concept analysis to cluster user session
and ASER, proposed by Xingmin Luo et al. (2009), clusters user sessions based on the service profile and it selects a set of representative user sessions from each cluster.</t>
  </si>
  <si>
    <t>Book Store</t>
  </si>
  <si>
    <t>S85</t>
  </si>
  <si>
    <t>Using search-based algorithms for Ajax event sequence generation during testing</t>
  </si>
  <si>
    <t>https://docs.google.com/viewer?a=v&amp;pid=explorer&amp;chrome=true&amp;srcid=0B6dKdxaNjBENNDNhMjQ2OWUtYTgwMC00MDBlLWJhOGItN2JmNzdjMDhjNWFi&amp;hl=en_US</t>
  </si>
  <si>
    <t>Marchetto:ese11</t>
  </si>
  <si>
    <t>Ali: We should only include this one. Vahid: done, I put the conf version in "removed papers"</t>
  </si>
  <si>
    <t>Alessandro Marchetto, Paolo Tonella</t>
  </si>
  <si>
    <t>EMSE</t>
  </si>
  <si>
    <t>repeated both Test Suite Generation and Test Cases Execution 20 times per algorithm with the aim of evaluating the mean behavior considering average and standard deviation of the proposed metrics
Table 8 :Algorithms' computation time required to generate test suites
Fig.7 faults revealed by bounded/unbounded suites
Fig.8 fault revealing test cases ratio (FRtcR) for each SUT, bounded/unbounded suites</t>
  </si>
  <si>
    <t xml:space="preserve">measure 2 algorothins in terms of generated test suite lengths, time required, effectiveness in finding faults </t>
  </si>
  <si>
    <t>(a) length k and distribution over k of the
event sequences taken into account for generating test cases deeply affect their fault revealing capability; and, (b) increasing the suite diversity and the number of long interaction sequences is a suitable strategy to improve the effectiveness of the automatically generated test suites.</t>
  </si>
  <si>
    <t>test suite size, 
representativeness of faults injected</t>
  </si>
  <si>
    <t>LISP</t>
  </si>
  <si>
    <t>reAJAX and a test tool</t>
  </si>
  <si>
    <t>Tudu, Oryx</t>
  </si>
  <si>
    <t>S86</t>
  </si>
  <si>
    <t>Verifying Interactive Web Programs</t>
  </si>
  <si>
    <t>https://docs.google.com/viewer?a=v&amp;pid=explorer&amp;chrome=true&amp;srcid=0B6dKdxaNjBENMDM3YjM2YjAtODljNS00NGI1LTgzNTUtYTVmY2Q4YjE2Y2Mx&amp;hl=en_US</t>
  </si>
  <si>
    <t>Licata:ase04</t>
  </si>
  <si>
    <t>Daniel R. Licata, Shriram Krishnamurthi</t>
  </si>
  <si>
    <t>PLT scheme</t>
  </si>
  <si>
    <t>orbitz</t>
  </si>
  <si>
    <t>S87</t>
  </si>
  <si>
    <t>VeriWeb: Automatically testing dynamic web sites</t>
  </si>
  <si>
    <t>https://docs.google.com/viewer?a=v&amp;pid=explorer&amp;chrome=true&amp;srcid=0B6dKdxaNjBENOTA0NDJkNGQtODE5MS00YzlhLWIyODctMzJiMTA4YWE4ZmVl&amp;hl=en_US</t>
  </si>
  <si>
    <t>Benedikt:www02</t>
  </si>
  <si>
    <t>M Benedikt, J Freire, P Godefroid</t>
  </si>
  <si>
    <t>VeriWeb</t>
  </si>
  <si>
    <t>Yahoo Auto Classifieds, Travelocity</t>
  </si>
  <si>
    <t>S88</t>
  </si>
  <si>
    <t xml:space="preserve">WAVer_ A Model Checking-based Tool to Verify Web Application Design </t>
  </si>
  <si>
    <t>https://docs.google.com/file/d/0BzWeYCv5rkkzZnVMYmRsa2JMazg/edit</t>
  </si>
  <si>
    <t>Catellucia:entcs2006</t>
  </si>
  <si>
    <t xml:space="preserve">serdar: verification of WA UML design. 
Vahid: I remember we included model checking of design models in the pool in the SM study. Aysu... Can you please verify this?           
Aysu:#30 of SM pool is referred here as [8] by the same authors. #30:Design verification of web applications using symbolic model checking </t>
  </si>
  <si>
    <t>WAVer</t>
  </si>
  <si>
    <t>S89</t>
  </si>
  <si>
    <t>Web Application Slicing in Presence of Dynamic Code Generation</t>
  </si>
  <si>
    <t>https://docs.google.com/viewer?a=v&amp;pid=explorer&amp;chrome=true&amp;srcid=0B6dKdxaNjBENZjVhZWQyOTUtOGY2ZC00NmU4LWIzYTMtZjMyOThhOWY0MWYw&amp;hl=en_US</t>
  </si>
  <si>
    <t>Tonella:ase05</t>
  </si>
  <si>
    <t>test case reduction</t>
  </si>
  <si>
    <t>PHP apps</t>
  </si>
  <si>
    <t>S90</t>
  </si>
  <si>
    <t>Web Application Testing with Customized Test Requirements - An Experimental Comparison Study</t>
  </si>
  <si>
    <t>https://docs.google.com/viewer?a=v&amp;pid=explorer&amp;chrome=true&amp;srcid=0B6dKdxaNjBENNWIxZGFmMmYtODQwMC00MDU3LTk0YTEtZjc3M2I1M2UyMjYw&amp;hl=en_US</t>
  </si>
  <si>
    <t>Sampath:issre06</t>
  </si>
  <si>
    <t>Fig3 Percent of Original Test Cases after HGS reduction for all SUTs (Reduction in Test Suite Size)
Fig4 # of Originally Covered Stmts Lost after HGS reduction for all SUTs (Statement Coverage Loss)
Fig5 # of Originally Detected Faults Lost after HGS reduction for all SUTs (Fault Detection Loss)
Table4 Bonferroni multiple comparison method to contrast the mean "fom" for each requirement</t>
  </si>
  <si>
    <t>evaluate the tradeoffs btw customized requirements wrt depenedent vars...dependent vars: test suite size, program coverage and fault detection effectiveness, replay costs of reduces test suites, time and space costs of test selection. independent var: subjects test case selection tech. original test suite, requirements.</t>
  </si>
  <si>
    <t>requirements that capture context and data increases reduced test suite effectiveness for apps that have significant control dependence on ames and values.         context dependent requirements (sequence) increase effectiveness of reduced test suite for apps that have specific user pattern intended by the developer</t>
  </si>
  <si>
    <t>representativeness of seeded faults</t>
  </si>
  <si>
    <t>minimization of false positives at the risk of not detecting faults.</t>
  </si>
  <si>
    <t>Masplas, Book, CPM, DSpace</t>
  </si>
  <si>
    <t>S91</t>
  </si>
  <si>
    <t>Web Testing for Reliability Improvement</t>
  </si>
  <si>
    <t>https://docs.google.com/viewer?a=v&amp;pid=explorer&amp;chrome=true&amp;srcid=0B6dKdxaNjBENMzJkYTg0NDYtYzNiMC00NjFjLThkNjctY2I1NjVhMGE0MmU0&amp;hl=en_US</t>
  </si>
  <si>
    <t>Tian:aic06</t>
  </si>
  <si>
    <t>Jeff Tian, Li Ma</t>
  </si>
  <si>
    <t>AIC</t>
  </si>
  <si>
    <t>statistical testing models</t>
  </si>
  <si>
    <t>Review</t>
  </si>
  <si>
    <t>Fig. 10 cumulative errors vs. cumulative bytes transferred over the observation period
Fig. 11 cumulative unique failures vc. different workload measurements calculated
Fig. 12 relative cumulative unique errors against relative cumulative workload</t>
  </si>
  <si>
    <t>Conducting reliability analysis and whether the test technique can imrpvoe reliability</t>
  </si>
  <si>
    <t>"hierarchical testing of web-based applications is both viable and effective"</t>
  </si>
  <si>
    <t>S92</t>
  </si>
  <si>
    <t>WebDiff: Automated identiﬁcation of cross-browser issues in web applications</t>
  </si>
  <si>
    <t>https://docs.google.com/file/d/0Bw8z7TlbmHSJNzdFckEzcUFQUW8/edit</t>
  </si>
  <si>
    <t>Choudhary:icsm2010</t>
  </si>
  <si>
    <t>cross-browser issues identified by WEBDIFF and manually confirmed as true positives:positional differences (Pos.), changes in size (Size), visual differences (Vis.), and general appearance differences (Gen.) , total number of true positives (Tot.) and false positive (FP) (see Table 3)</t>
  </si>
  <si>
    <t>to evaluate if the tool can identify cross browser issues without generating too many false positives</t>
  </si>
  <si>
    <t>technique was able to automatically discover and report a large number of crossbrowser
issues. 17% ratio of false positives for the case study (due to the implementation not the technique)</t>
  </si>
  <si>
    <t>WebDiff</t>
  </si>
  <si>
    <t>Web Sites: Gatech, Becker,CHESNUT, CRSTI, DUICTRL, JTWED, ORTHO, PROTOOLS, SPEED.</t>
  </si>
  <si>
    <t>S93</t>
  </si>
  <si>
    <t>WebMate: Generating Test Cases for Web 2.0</t>
  </si>
  <si>
    <t>https://docs.google.com/file/d/0Bw8z7TlbmHSJNU5YTmNKNU5tdG8/edit</t>
  </si>
  <si>
    <t>Dallmeier:swqd2013</t>
  </si>
  <si>
    <t>aysu: evalution is on coverage.</t>
  </si>
  <si>
    <t>compare the coverage achieved by WEBMATE to that achieved by a traditional crawler for a set of subjects (see Table2)</t>
  </si>
  <si>
    <t>Trying to analyse the effectiveness of proposed tool based on coverage</t>
  </si>
  <si>
    <t>When compared to alternative tool SCRAPY, WEBMATE achived higher coverage (seven times better for one SUT and four times better for 2 SUTs)</t>
  </si>
  <si>
    <t>Biased SUT selection</t>
  </si>
  <si>
    <t>Dependence on 3rd party tool</t>
  </si>
  <si>
    <t>CSS</t>
  </si>
  <si>
    <t>WEBMATE</t>
  </si>
  <si>
    <t>DMS, HippoCMS, iTracker, JTrac, ScrumIt</t>
  </si>
  <si>
    <t>S94</t>
  </si>
  <si>
    <t>WebVizOr: A Visualization Tool for Applying Automated Oracles and Analyzing Test Results of Web Applications</t>
  </si>
  <si>
    <t>https://docs.google.com/viewer?a=v&amp;pid=explorer&amp;chrome=true&amp;srcid=0B6dKdxaNjBENYzVmMTMwMmQtMjkyYy00MzM3LWI2OWEtNGU2NmRkYWE3NGE4&amp;hl=en_US</t>
  </si>
  <si>
    <t>Sprenkle:taic08</t>
  </si>
  <si>
    <t>Ali: short paper on visualization (not testing) - no evaluation</t>
  </si>
  <si>
    <t>Sara Sprenkle, Holly Esquivel, Barbara Hazelwood, Lori Pollock</t>
  </si>
  <si>
    <t>TAIC-PART</t>
  </si>
  <si>
    <t>see comment in EB</t>
  </si>
  <si>
    <t>experience on webvisor to anlyze test results and evaulate oracles. emprical goal: evaluate accuracy of oracle comparators.(false positives and false negatives) no RQs</t>
  </si>
  <si>
    <t xml:space="preserve">(1)"anaylzing tens of thousand responses took a few days rather than weeks ...manually"(2) common sitatuions in [20] where a particular oracle reported false positives and negatives. --no numeric values given. </t>
  </si>
  <si>
    <t>WebVizOr</t>
  </si>
  <si>
    <t>S95</t>
  </si>
  <si>
    <t>WIT: A Framework for In-container Testing of Web-Portal Applications</t>
  </si>
  <si>
    <t>https://docs.google.com/viewer?a=v&amp;pid=explorer&amp;chrome=true&amp;srcid=0B6dKdxaNjBENMmVmMjA5YTktODJhOS00Y2IxLWExMzEtZWM0MDczODA4MjUx&amp;hl=en_US</t>
  </si>
  <si>
    <t>Xiong:icwe05</t>
  </si>
  <si>
    <t>Ali: low quality, weak evaluation</t>
  </si>
  <si>
    <t>Wenliang Xiong, Harpreet Bajwa and Frank Maurer</t>
  </si>
  <si>
    <t>WIT</t>
  </si>
  <si>
    <t>Count</t>
  </si>
  <si>
    <t>sum</t>
  </si>
  <si>
    <t>std</t>
  </si>
  <si>
    <t>Publication Trend by Year</t>
  </si>
  <si>
    <t>Web testing</t>
  </si>
  <si>
    <t>GUI Testing</t>
  </si>
  <si>
    <t>SBST</t>
  </si>
  <si>
    <t>Mutation Testing</t>
  </si>
  <si>
    <t>Total</t>
  </si>
  <si>
    <t>Demographic Information - Author Country</t>
  </si>
  <si>
    <t>authors_country</t>
  </si>
  <si>
    <t>China</t>
  </si>
  <si>
    <t>Saudi Arabia</t>
  </si>
  <si>
    <t>Papers written by authors from more than one country</t>
  </si>
  <si>
    <t>Type of Paper - Contribution Facet</t>
  </si>
  <si>
    <t>Technique</t>
  </si>
  <si>
    <t>Tool</t>
  </si>
  <si>
    <t>Model</t>
  </si>
  <si>
    <t>Citation Count vs Year Published</t>
  </si>
  <si>
    <t>Normalized Citation Count vs Year Published</t>
  </si>
  <si>
    <t>Type of Paper - Research Facet</t>
  </si>
  <si>
    <t>Software product-line testing</t>
  </si>
  <si>
    <t>Solution Proposal</t>
  </si>
  <si>
    <t>Validation</t>
  </si>
  <si>
    <t>Evaluation</t>
  </si>
  <si>
    <t>Experience</t>
  </si>
  <si>
    <t>Philosophical</t>
  </si>
  <si>
    <t>Validation Research</t>
  </si>
  <si>
    <t>Evaluation Research</t>
  </si>
  <si>
    <t>Contribution vs research</t>
  </si>
  <si>
    <t>Philosophocal Papers</t>
  </si>
  <si>
    <t>Focus area of Paper</t>
  </si>
  <si>
    <t xml:space="preserve">type_of_testing_activity </t>
  </si>
  <si>
    <t>Criteria-based</t>
  </si>
  <si>
    <t>Exploratory</t>
  </si>
  <si>
    <t>Test Evaluation</t>
  </si>
  <si>
    <t>test_location</t>
  </si>
  <si>
    <t>test_level</t>
  </si>
  <si>
    <t>System</t>
  </si>
  <si>
    <t>source_to_derive_test_artifacts</t>
  </si>
  <si>
    <t>%</t>
  </si>
  <si>
    <t>Source code</t>
  </si>
  <si>
    <t>Requirements</t>
  </si>
  <si>
    <t>(User) logs</t>
  </si>
  <si>
    <t>Inferred Model (Auto.)</t>
  </si>
  <si>
    <t>Inferred Model (Man.)</t>
  </si>
  <si>
    <t>Gray-box</t>
  </si>
  <si>
    <t>CS</t>
  </si>
  <si>
    <t>Static code ana.</t>
  </si>
  <si>
    <t>Dyn. code ana.</t>
  </si>
  <si>
    <t>Requirement-b.</t>
  </si>
  <si>
    <t>Search-based</t>
  </si>
  <si>
    <t>Symbolic exec.</t>
  </si>
  <si>
    <t>total</t>
  </si>
  <si>
    <t>Navigation model</t>
  </si>
  <si>
    <t>Control or data flow</t>
  </si>
  <si>
    <t>type_of test_artifact_generated</t>
  </si>
  <si>
    <t>Test requirements</t>
  </si>
  <si>
    <t>Expected outputs</t>
  </si>
  <si>
    <t>We will just report the %, no fig is needed</t>
  </si>
  <si>
    <t>type_of_evaluation_method</t>
  </si>
  <si>
    <t>Coverage</t>
  </si>
  <si>
    <t>Mutation testing</t>
  </si>
  <si>
    <t>Time/performance</t>
  </si>
  <si>
    <t>Proof of concept</t>
  </si>
  <si>
    <t>Asynchronous calls (AJAX)</t>
  </si>
  <si>
    <t>client_tier_web_technology</t>
  </si>
  <si>
    <t>web_server_tier_web_technology</t>
  </si>
  <si>
    <t>J2EE</t>
  </si>
  <si>
    <t>Perl/CGI</t>
  </si>
  <si>
    <t>See file "Excel charts.XLSX"</t>
  </si>
  <si>
    <t>type_of_web_software_SUTs</t>
  </si>
  <si>
    <t>Real open-source software</t>
  </si>
  <si>
    <t>Academic experimental software</t>
  </si>
  <si>
    <t>Commercial software</t>
  </si>
  <si>
    <t>SUT_size_versus_year_of_publication</t>
  </si>
  <si>
    <t>correl</t>
  </si>
  <si>
    <t>Java family</t>
  </si>
  <si>
    <t>Perl (CGI)</t>
  </si>
  <si>
    <t>tools</t>
  </si>
  <si>
    <t>Available for download/use</t>
  </si>
  <si>
    <t>Not available</t>
  </si>
  <si>
    <t>Black-box testing</t>
  </si>
  <si>
    <t>Session-based</t>
  </si>
  <si>
    <t>Cross-Browser Comp.</t>
  </si>
  <si>
    <t>Supported by tools</t>
  </si>
  <si>
    <t>No tools</t>
  </si>
  <si>
    <t>TOTAL</t>
  </si>
  <si>
    <t>Client-tier web technologies” and</t>
  </si>
  <si>
    <t>Html</t>
  </si>
  <si>
    <t>dom</t>
  </si>
  <si>
    <t>javascript</t>
  </si>
  <si>
    <t>Soln proposal</t>
  </si>
  <si>
    <t>server tech vs research facet</t>
  </si>
  <si>
    <t>php</t>
  </si>
  <si>
    <t>J2ee</t>
  </si>
  <si>
    <t>.net</t>
  </si>
  <si>
    <t>ruby</t>
  </si>
  <si>
    <t>python</t>
  </si>
  <si>
    <t>Perl cgi</t>
  </si>
  <si>
    <t>research facet vs test location</t>
  </si>
  <si>
    <t>server side</t>
  </si>
  <si>
    <t>client side</t>
  </si>
  <si>
    <t>both</t>
  </si>
  <si>
    <t>unspecified</t>
  </si>
  <si>
    <t xml:space="preserve">  Philosophical</t>
  </si>
  <si>
    <t>research facet vs static or dynamic apps</t>
  </si>
  <si>
    <t>Static</t>
  </si>
  <si>
    <t>dynamic</t>
  </si>
  <si>
    <t>research facet vs synchronicity</t>
  </si>
  <si>
    <t>ajax</t>
  </si>
  <si>
    <t>Synchronous</t>
  </si>
  <si>
    <t>Peer review combinations</t>
  </si>
  <si>
    <t>Type of the Evaluation Method</t>
  </si>
  <si>
    <t>(self) Assignment</t>
  </si>
  <si>
    <t>Data extraction done?</t>
  </si>
  <si>
    <t>Ali-criterion 1</t>
  </si>
  <si>
    <t>Ali-criterion 2</t>
  </si>
  <si>
    <t>Coverage (code, model)</t>
  </si>
  <si>
    <t>Comments</t>
  </si>
  <si>
    <t>A Scalable Approach to User-Session based Testing of Web Applications through Concept Analysis</t>
  </si>
  <si>
    <t>https://docs.google.com/viewer?a=v&amp;pid=explorer&amp;chrome=true&amp;srcid=0B6dKdxaNjBENMDA5YjEzMWEtZmZjMi00ZTUzLWI0NTgtZGRlOGM3Y2Q4ZmU2&amp;hl=en_US</t>
  </si>
  <si>
    <t>Sampath:ase04</t>
  </si>
  <si>
    <t>Sreedevi Sampath, Valentin Mihaylov, Amie Souter, Lori Pollock</t>
  </si>
  <si>
    <t>test suite size</t>
  </si>
  <si>
    <t>Extended version (paper  No. 13 in this list)</t>
  </si>
  <si>
    <t xml:space="preserve">scalability </t>
  </si>
  <si>
    <t>http://www.google.ca/url?sa=t&amp;source=web&amp;cd=1&amp;ved=0CBcQFjAA&amp;url=http%3A%2F%2Fwww.cs.queensu.ca%2Fhome%2Fcordy%2FPapers%2FACD_CSMR10_Coverage.pdf&amp;rct=j&amp;q=Automating%20Coverage%20Metrics%20for%20Dynamic%20Web%20Applications&amp;ei=y_g6Tvr4LOzUiALg19n5Cw&amp;usg=AFQjCNFiRAmHcz6aNGeXm0bDX3SPkJ9TBQ&amp;sig2=mOY0RvXmW-MVMLSlHHbS5Q&amp;cad=rja</t>
  </si>
  <si>
    <t>vb</t>
  </si>
  <si>
    <t>Cookies: A Deployment Study and the Testing Implications</t>
  </si>
  <si>
    <t>https://docs.google.com/viewer?a=v&amp;pid=explorer&amp;chrome=true&amp;srcid=0B6dKdxaNjBENODE1ZWJjOWYtM2FiNS00YjAzLThhMTktYzViMzZjY2ExNzIx&amp;hl=en_US</t>
  </si>
  <si>
    <t>Tappenden:tweb09</t>
  </si>
  <si>
    <t>Andrew Tappenden, James Miller</t>
  </si>
  <si>
    <t>TWEB</t>
  </si>
  <si>
    <t>Crawlability metrics for automated web testing</t>
  </si>
  <si>
    <t>https://docs.google.com/viewer?a=v&amp;pid=explorer&amp;chrome=true&amp;srcid=0B6dKdxaNjBENODBmYmQwMmQtMDQyOS00YjMxLWExOGUtNTkxNjE4MjEwOGI2&amp;hl=en_US</t>
  </si>
  <si>
    <t>Marchetto:sttt11</t>
  </si>
  <si>
    <t>aysu:indirectly related</t>
  </si>
  <si>
    <t>Alessandro Marchetto, Roberto Tiella, Paolo Tonella, Nadia Alshahwan, Mark Harman</t>
  </si>
  <si>
    <t>oscommerce2, campcaster, ajchat, shop, hotelBooking, zencart, orangeHRM, spellCheck, addressBook, webChess, schoolMate, phpmyadmin, addressook,php-agenda , airalliance, ecombill, dbguestbook, lesson8, winestore</t>
  </si>
  <si>
    <t>51 pages, 58 forms</t>
  </si>
  <si>
    <t>no</t>
  </si>
  <si>
    <t>Dynamic Test Input Generation for Web Applications</t>
  </si>
  <si>
    <t>http://wwwcsif.cs.ucdavis.edu/~wassermg/research/issta08.pdf</t>
  </si>
  <si>
    <t>Wassermann:issta08</t>
  </si>
  <si>
    <t>Gary Wassermann, Dachuan Yu, Ajay Chander, Dinakar Dhurjati, Hiroshi Inamura, Zhendong Su</t>
  </si>
  <si>
    <t>No name</t>
  </si>
  <si>
    <t>Mantis 1.0.0rc2,mambo 4.3.5,utopia news pro</t>
  </si>
  <si>
    <t>27 files-17328 LOC ; 23 files -13248; 6 files 1529 LOC</t>
  </si>
  <si>
    <t>Taylor Ettema, Chris Bunch</t>
  </si>
  <si>
    <t>a motivation of the WIT paper (the last one in this collection)</t>
  </si>
  <si>
    <t>Journal version of their ICSE 2003 paper: "Improving Web Application Testing with User Session Data"</t>
  </si>
  <si>
    <t>reliability analysis</t>
  </si>
  <si>
    <t>http://cs.au.dk/~amoeller/papers/dom/paper.pdf</t>
  </si>
  <si>
    <t>false positives and false negatives, automation ratio, scalablility</t>
  </si>
  <si>
    <t xml:space="preserve">test suite reduction </t>
  </si>
  <si>
    <t>false positives</t>
  </si>
  <si>
    <t xml:space="preserve">reliability </t>
  </si>
  <si>
    <t>avg</t>
  </si>
  <si>
    <t>Paper/ person</t>
  </si>
  <si>
    <t>Peer review combinations (should be around 12-14 each)</t>
  </si>
  <si>
    <t>AutoFLox: An Automatic Fault Localizer for Client-Side JavaScript</t>
  </si>
  <si>
    <t>Ocariza:ICST2012</t>
  </si>
  <si>
    <t>Lessons Learned from a Survey of Web Applications Testing</t>
  </si>
  <si>
    <t>http://ieeexplore.ieee.org/xpls/abs_all.jsp?arnumber=5070604&amp;tag=1</t>
  </si>
  <si>
    <t>https://docs.google.com/file/d/0BzWeYCv5rkkzeWUyZEFKMUlxamc/edit</t>
  </si>
  <si>
    <t>Quality Attributes of Web Software Applications</t>
  </si>
  <si>
    <t>https://docs.google.com/file/d/0B6dKdxaNjBENQTdERDVybXRWeHM/edit</t>
  </si>
  <si>
    <t>Offutt:ieeesoftware12</t>
  </si>
  <si>
    <t>SPaCiTE -- Web Application Testing Engine</t>
  </si>
  <si>
    <t>http://ieeexplore.ieee.org/xpl/articleDetails.jsp?tp=&amp;arnumber=6200199&amp;contentType=Conference+Publications&amp;pageNumber%3D2%26searchField%3DSearch_All%26queryText%3D.LB..LB.web+or+website+or+.QT.web+application.QT.+or+php.RB..RB.+and+.LB.test+or+testing+or+verification+or+analysis.RB.</t>
  </si>
  <si>
    <t>Buchler:icst2012</t>
  </si>
  <si>
    <t>Towards Testing Future Web Applications</t>
  </si>
  <si>
    <t>https://docs.google.com/file/d/0B6dKdxaNjBENcFE3QU42cUpxc2s/edit</t>
  </si>
  <si>
    <t>Marin:rcis11</t>
  </si>
  <si>
    <t>http://www.academicjournals.org/ijps/pdf/pdf2011/4Jul/Peng%20and%20Lu.pdf</t>
  </si>
  <si>
    <t>Web Mutation Testing</t>
  </si>
  <si>
    <t>http://ieeexplore.ieee.org/xpl/articleDetails.jsp?tp=&amp;arnumber=6200146&amp;contentType=Conference+Publications&amp;pageNumber%3D2%26searchField%3DSearch_All%26queryText%3D.LB..LB.web+or+website+or+.QT.web+application.QT.+or+php.RB..RB.+and+.LB.test+or+testing+or+verification+or+analysis.RB.</t>
  </si>
  <si>
    <t>Praphamontripong: ICST2012</t>
  </si>
  <si>
    <t>A Framework for Web application testing</t>
  </si>
  <si>
    <t>https://docs.google.com/file/d/0BzWeYCv5rkkzVlRKT3BKTWptMGs/edit</t>
  </si>
  <si>
    <t>xu:cw2004</t>
  </si>
  <si>
    <t>A Model Checking-based Method for Verifying Web Application Design</t>
  </si>
  <si>
    <t>https://docs.google.com/file/d/0BzWeYCv5rkkzbEE0ZkFZWFJ1Znc/edit</t>
  </si>
  <si>
    <t>donini:entcs2006</t>
  </si>
  <si>
    <t>A Rewriting-based Framework for Web Sites Verification</t>
  </si>
  <si>
    <t>https://docs.google.com/file/d/0BzWeYCv5rkkzSDJENEJ0NEVmY1E/edit</t>
  </si>
  <si>
    <t>alpuente:entcs2005</t>
  </si>
  <si>
    <t>An Automated Test Code Generation Method for Web Applications using Activity Oriented Approach</t>
  </si>
  <si>
    <t>https://docs.google.com/file/d/0BzWeYCv5rkkzZ3d6bkk5VFREalk/edit</t>
  </si>
  <si>
    <t>Turner:ASE2008</t>
  </si>
  <si>
    <t>https://docs.google.com/file/d/0BzWeYCv5rkkzLUZucGJ6SkdCRFE/edit</t>
  </si>
  <si>
    <t>Analysis and composition of web components based on mu calculus</t>
  </si>
  <si>
    <t>https://docs.google.com/file/d/0BzWeYCv5rkkzYW5NaWFoSFRnTzg/edit</t>
  </si>
  <si>
    <t>he:cso2009</t>
  </si>
  <si>
    <t xml:space="preserve">Automated Testing of PHP Application Functionality Anonymous </t>
  </si>
  <si>
    <t>https://docs.google.com/file/d/0BzWeYCv5rkkzTV9WbVQ0MWhOMzg/edit</t>
  </si>
  <si>
    <t>Client-tier Validation of Dynamic Web Applications.</t>
  </si>
  <si>
    <t>tanida:icsoft2011</t>
  </si>
  <si>
    <t>sampath:tReport2005</t>
  </si>
  <si>
    <t>https://docs.google.com/file/d/0BzWeYCv5rkkzY0VkdnpGYk83SEE/edit</t>
  </si>
  <si>
    <t>Formal framework for automated analysis and verification of Web-based applications</t>
  </si>
  <si>
    <t>https://docs.google.com/file/d/0BzWeYCv5rkkzXzg4ZDZqRXp5RzA/edit</t>
  </si>
  <si>
    <t>Haydar: ASE2004</t>
  </si>
  <si>
    <t>Integrating static and dynamic analysis to improve the comprehension of existing Web applications</t>
  </si>
  <si>
    <t>https://docs.google.com/file/d/0BzWeYCv5rkkzOFJRU2RWVzF2OGc/edit</t>
  </si>
  <si>
    <t>Di Lucca:WSE2005</t>
  </si>
  <si>
    <t>Modeling methods for web application verification and testing State of the art (2008)</t>
  </si>
  <si>
    <t>https://docs.google.com/file/d/0BzWeYCv5rkkzV1N0WHctRXZOM0E/edit</t>
  </si>
  <si>
    <t>alalfi:stvr 2008</t>
  </si>
  <si>
    <t>http://ieeexplore.ieee.org/xpls/abs_all.jsp?arnumber=5198500&amp;tag=1</t>
  </si>
  <si>
    <t>Specification and verification of data-driven Web applications</t>
  </si>
  <si>
    <t>https://docs.google.com/file/d/0BzWeYCv5rkkzbU9kcklyVmZrRGM/edit</t>
  </si>
  <si>
    <t>deutsch:jcss2007</t>
  </si>
  <si>
    <t>Synchronization of Multi-window requests for Server-side Regression Test of Web Applications</t>
  </si>
  <si>
    <t>https://docs.google.com/file/d/0BzWeYCv5rkkzLUJhSXJsZmcyVlU/edit</t>
  </si>
  <si>
    <t>Shimomura:CQS2009</t>
  </si>
  <si>
    <t>Tailored Shielding and Bypass Testing of Web Applications</t>
  </si>
  <si>
    <t>https://docs.google.com/file/d/0BzWeYCv5rkkzQWd0M3VsM1lIaWM/edit</t>
  </si>
  <si>
    <t>Mouelhi: ICST2011 march</t>
  </si>
  <si>
    <t>Techniques and tools for Rich Internet Applications testing</t>
  </si>
  <si>
    <t>https://docs.google.com/file/d/0BzWeYCv5rkkzclNpS3ZNN2ZIdTg/edit</t>
  </si>
  <si>
    <t>Amalfitano: WSE 2010</t>
  </si>
  <si>
    <t>Understanding Web applications through dynamic analysis</t>
  </si>
  <si>
    <t>https://docs.google.com/file/d/0BzWeYCv5rkkzeGlWamljMXllQjQ/edit</t>
  </si>
  <si>
    <t>Antoniol:program conprehension ws 2004</t>
  </si>
  <si>
    <t>V-DOM and P-XML—towards a valid programming of XML-based applications</t>
  </si>
  <si>
    <t>https://docs.google.com/file/d/0BzWeYCv5rkkzd0tvbkxmZlBuNFE/edit</t>
  </si>
  <si>
    <t>kempa:ist2002</t>
  </si>
  <si>
    <t>catellucia:entcs2006</t>
  </si>
  <si>
    <t>Web Application Model Recovery for User Input Validation Testing</t>
  </si>
  <si>
    <t>Li:ICSEA2007</t>
  </si>
  <si>
    <t>web testing: a roadmap for emprical research</t>
  </si>
  <si>
    <t>https://docs.google.com/file/d/0BzWeYCv5rkkzLWVDRWFIVjVTVkk/edit</t>
  </si>
  <si>
    <t>ricca:wse2005</t>
  </si>
  <si>
    <t>Web Verification_Perspective and Challenges</t>
  </si>
  <si>
    <t>https://docs.google.com/file/d/0BzWeYCv5rkkzN0pnejZXcWhIeE0/edit</t>
  </si>
  <si>
    <t>krishnamurti:etncs2006</t>
  </si>
  <si>
    <t>What Kind of Verification of Formal Navigation Modelling for Reliable and Usable Web Applications</t>
  </si>
  <si>
    <t>https://docs.google.com/file/d/0BzWeYCv5rkkzOFRfV0xqQTFyNms/edit</t>
  </si>
  <si>
    <t>wincler:entcs2006</t>
  </si>
  <si>
    <t>Search for ICST 2013 papers</t>
  </si>
  <si>
    <t>http://ieeexplore.ieee.org/xpls/abs_all.jsp?arnumber=5728834</t>
  </si>
  <si>
    <t>mesbah:tse2012</t>
  </si>
  <si>
    <t>An optimized design for the test case of web application</t>
  </si>
  <si>
    <t>http://ieeexplore.ieee.org/xpls/abs_all.jsp?arnumber=6258611&amp;tag=1</t>
  </si>
  <si>
    <t>wu:eeesym2012</t>
  </si>
  <si>
    <t>http://link.springer.com/chapter/10.1007/978-3-642-35702-2_5</t>
  </si>
  <si>
    <t>dallmeier:swqd2013</t>
  </si>
  <si>
    <t>http://link.springer.com/chapter/10.1007/978-3-642-37057-1_25</t>
  </si>
  <si>
    <t>sakamoto:fase2013</t>
  </si>
  <si>
    <t>Continuous Integration Testing of Web Applications by Sanitizing Program Input</t>
  </si>
  <si>
    <t>http://www.cyberjournals.com/Papers/Feb2013/03.pdf</t>
  </si>
  <si>
    <t>falah:jsse2013</t>
  </si>
  <si>
    <t>Model-Based Strategies for Reducing the Complexity of Statistically Generated Test Suites</t>
  </si>
  <si>
    <t>http://link.springer.com/chapter/10.1007/978-3-642-35702-2_7</t>
  </si>
  <si>
    <t>dulz:swqd2013</t>
  </si>
  <si>
    <t>Automated System Testing of Dynamic Web Applications</t>
  </si>
  <si>
    <t>http://link.springer.com/chapter/10.1007/978-3-642-36177-7_12</t>
  </si>
  <si>
    <t>tanida:icsoft:2011</t>
  </si>
  <si>
    <t>http://fg-tav.gi.de/fileadmin/user_upload/TAV34/Toersel_Paper.pdf</t>
  </si>
  <si>
    <t>törsel:icst2013</t>
  </si>
  <si>
    <t>Challenges of Testing for Critical Interactive Systems</t>
  </si>
  <si>
    <t>http://hal.inria.fr/docs/00/80/48/76/PDF/PhDSymposium-ICST13-vCR-ValeriaLelli.pdf</t>
  </si>
  <si>
    <t>lelli:icst2013</t>
  </si>
  <si>
    <t>http://ece.ubc.ca/~amesbah/docs/icst13.pdf</t>
  </si>
  <si>
    <t>mesbah:icst2013</t>
  </si>
  <si>
    <t>Type of Paper-Contribution Facet RQ 1.1</t>
  </si>
  <si>
    <t>https://docs.google.com/file/d/0B6dKdxaNjBENc1hXRm9WZWVlOU0/edit</t>
  </si>
  <si>
    <t>corr=</t>
  </si>
  <si>
    <t>International Conference on Software Testing</t>
  </si>
  <si>
    <t>IEEE international conference on Automated Software Engineering</t>
  </si>
  <si>
    <t>Information and Software Technology</t>
  </si>
  <si>
    <t>International Conference on Software Engineering</t>
  </si>
  <si>
    <t>International Conference on Web Engineering</t>
  </si>
  <si>
    <t>International Symposium on Software Reliability Engineering</t>
  </si>
  <si>
    <t>International Symposium on Software Testing and Analysis</t>
  </si>
  <si>
    <t>Symposium on Web System Evolution</t>
  </si>
  <si>
    <t>IEEE Transactions on Software Engineering</t>
  </si>
  <si>
    <t>ACM SIGSOFT International Symposium on Foundations of software engineering</t>
  </si>
  <si>
    <t>International Conference on Software Maintenance</t>
  </si>
  <si>
    <t>Journal on Software Tools for Technology Transfer </t>
  </si>
  <si>
    <t>International Conference on World Wide Web</t>
  </si>
  <si>
    <t>Journal of Systems and Software</t>
  </si>
  <si>
    <t xml:space="preserve">Software and System Modeling </t>
  </si>
  <si>
    <t>SoSym</t>
  </si>
  <si>
    <t>Workshop on Testing, Analysis and Verification of Web Software</t>
  </si>
  <si>
    <t>Advances in Computers</t>
  </si>
  <si>
    <t>European Conference on Software Maintenance and Reengineering</t>
  </si>
  <si>
    <t>Journal on Empirical Software Engineering</t>
  </si>
  <si>
    <t>International Conference on Software Paradigm Trends</t>
  </si>
  <si>
    <t>Innovations in Systems and Software Engineering</t>
  </si>
  <si>
    <t>Journal of Information Science and Engineering</t>
  </si>
  <si>
    <t>Journal of Software Maintenance and Evolution</t>
  </si>
  <si>
    <t>Workshop on Mutation Analysis</t>
  </si>
  <si>
    <t>International Symposium on Practical Aspects of Declarative Languages</t>
  </si>
  <si>
    <t>ACM symposium on Applied computing</t>
  </si>
  <si>
    <t>IEEE International Workshop on Source Code Analysis and Manipulation</t>
  </si>
  <si>
    <t>International SDL Forum</t>
  </si>
  <si>
    <t>International Conference on Software Engineering Research, Management and Applications</t>
  </si>
  <si>
    <t>IEEE Symposium on Security and Privacy</t>
  </si>
  <si>
    <t>Russian Young Researchers Colloquium on Software Engineering</t>
  </si>
  <si>
    <t>Testing: Academic and Industrial Conference</t>
  </si>
  <si>
    <t>Trends in Enterprise Application Architecture</t>
  </si>
  <si>
    <t>International Workshop onTESTing Techniques &amp; Experimentation Benchmarks for Event-Driven Software</t>
  </si>
  <si>
    <t xml:space="preserve"> Conference on Testing of Communicating Systems</t>
  </si>
  <si>
    <t>ACM Transactions on the Web</t>
  </si>
  <si>
    <t>Asia-Pacific Conference on Quality Software</t>
  </si>
  <si>
    <t>APAQS</t>
  </si>
  <si>
    <t>Computer-Aided Design of User Interfaces</t>
  </si>
  <si>
    <t>CADUI</t>
  </si>
  <si>
    <t>European Software Engineering Conference</t>
  </si>
  <si>
    <t>ESEC</t>
  </si>
  <si>
    <t>International Conference on Advanced Computer Theory and Engineering</t>
  </si>
  <si>
    <t xml:space="preserve">ICACTE </t>
  </si>
  <si>
    <t>International Conference on Internet and Web Applications and Services</t>
  </si>
  <si>
    <t>ICIW</t>
  </si>
  <si>
    <t>International Computer Symposium</t>
  </si>
  <si>
    <t>ICS</t>
  </si>
  <si>
    <t>International Conference on Testing Computer Software</t>
  </si>
  <si>
    <t>ICTCS</t>
  </si>
  <si>
    <t>International Conference on Information Technology</t>
  </si>
  <si>
    <t>ITNG</t>
  </si>
  <si>
    <t>International Workshop on Program Comprehension</t>
  </si>
  <si>
    <t>IWPC</t>
  </si>
  <si>
    <t xml:space="preserve">Journal of Theoretical and Applied Electronic Commerce </t>
  </si>
  <si>
    <t xml:space="preserve">JTAER </t>
  </si>
  <si>
    <t>Lecture Notes in Business Information Processing</t>
  </si>
  <si>
    <t xml:space="preserve">LNBIP </t>
  </si>
  <si>
    <t>Network and Distributed System Security Symposium</t>
  </si>
  <si>
    <t>NDSS</t>
  </si>
  <si>
    <t xml:space="preserve"> Programming language design and implementation</t>
  </si>
  <si>
    <t>PLDI</t>
  </si>
  <si>
    <t xml:space="preserve"> International Conference on Software Engineering and Applications </t>
  </si>
  <si>
    <t>SEA</t>
  </si>
  <si>
    <t>Information Security Conference</t>
  </si>
  <si>
    <t>SEC</t>
  </si>
  <si>
    <t xml:space="preserve">Software Engineering Journal </t>
  </si>
  <si>
    <t>SEJ</t>
  </si>
  <si>
    <t>Software Engineering Notes</t>
  </si>
  <si>
    <t>SEN</t>
  </si>
  <si>
    <t>conference on Research and development in information retrieval</t>
  </si>
  <si>
    <t>SIGIR</t>
  </si>
  <si>
    <t>Conference on Current Trends in Theory and Practice of Computer Science</t>
  </si>
  <si>
    <t>SOFSEM</t>
  </si>
  <si>
    <t>Conference on Tools and Algorithms for the Construction and Analysis of Systems</t>
  </si>
  <si>
    <t>TACAS</t>
  </si>
  <si>
    <t>Working Conference on Reverse Engineering</t>
  </si>
  <si>
    <t>WCRE</t>
  </si>
  <si>
    <t>USENIX conference on Web application development</t>
  </si>
  <si>
    <t>WebApps</t>
  </si>
  <si>
    <t xml:space="preserve"> International Workshop on Web Testing</t>
  </si>
  <si>
    <t>WebTest</t>
  </si>
  <si>
    <t>Wuhan University Journal of Natural Sciences</t>
  </si>
  <si>
    <t>WUJNS</t>
  </si>
  <si>
    <t>International Conference on Research Challenges in Information Science</t>
  </si>
  <si>
    <t>RCIS</t>
  </si>
  <si>
    <t>publication_type_by_venue</t>
  </si>
  <si>
    <t>Journal</t>
  </si>
  <si>
    <t>Conferece</t>
  </si>
  <si>
    <t>Workshop</t>
  </si>
  <si>
    <t>Symposium</t>
  </si>
  <si>
    <t>Magazine</t>
  </si>
  <si>
    <t>M</t>
  </si>
  <si>
    <t>Citation Count by Venue Type</t>
  </si>
  <si>
    <t>Citation Count</t>
  </si>
  <si>
    <t>corelation</t>
  </si>
  <si>
    <t>Average Citation per Paper</t>
  </si>
  <si>
    <t>Human know.-based</t>
  </si>
  <si>
    <t>Requirement-based</t>
  </si>
  <si>
    <t>Dynamic code ana.</t>
  </si>
  <si>
    <t>Paper Title (please keep this sorted A-Z)</t>
  </si>
  <si>
    <t>Reference</t>
  </si>
  <si>
    <t>Have a 2nd journal version?</t>
  </si>
  <si>
    <t>Technical paper</t>
  </si>
  <si>
    <t>Experience Report</t>
  </si>
  <si>
    <t xml:space="preserve">Test-cased Design (Criteria-based) </t>
  </si>
  <si>
    <t>Test-cased Design (Human knowledge-based)</t>
  </si>
  <si>
    <t>Navigation fault</t>
  </si>
  <si>
    <t>Computation Fault</t>
  </si>
  <si>
    <t>State-based fault</t>
  </si>
  <si>
    <t>Requirement Models</t>
  </si>
  <si>
    <t>logs</t>
  </si>
  <si>
    <t>OO testing</t>
  </si>
  <si>
    <t>Record/playback</t>
  </si>
  <si>
    <t>Test input/test data</t>
  </si>
  <si>
    <t>Test driver</t>
  </si>
  <si>
    <t>coverage (code, model)</t>
  </si>
  <si>
    <t>manual comparison</t>
  </si>
  <si>
    <t>Static HTML</t>
  </si>
  <si>
    <t>Available for download (put 1 if yes)</t>
  </si>
  <si>
    <t>Small (toy)</t>
  </si>
  <si>
    <t>open source</t>
  </si>
  <si>
    <t>commercial</t>
  </si>
  <si>
    <t>Agile (put 1 if it is related to Agile/XP)</t>
  </si>
  <si>
    <t>Serdar: Survey about WAT</t>
  </si>
  <si>
    <t>Ben Kam, Thomas R. Dean</t>
  </si>
  <si>
    <t>Modelling methods for web application verification and testing: state of the art</t>
  </si>
  <si>
    <t>https://docs.google.com/viewer?a=v&amp;pid=explorer&amp;chrome=true&amp;srcid=0B6dKdxaNjBENNDBkMzA0OWEtNDE2NC00YTNiLWJkYzItZjUyYjBlNzJkOTkw&amp;hl=en_US</t>
  </si>
  <si>
    <t>Vahid: This papers presents an interesting model for web apps (table 1 in the paper)</t>
  </si>
  <si>
    <t>Alalfi 09</t>
  </si>
  <si>
    <t>Manar H. Alalfi, James R. Cordy and Thomas R. Dean</t>
  </si>
  <si>
    <t>STVR</t>
  </si>
  <si>
    <t>Research Issues in the Automated Testing of Ajax Applications</t>
  </si>
  <si>
    <t>https://docs.google.com/viewer?a=v&amp;pid=explorer&amp;chrome=true&amp;srcid=0B6dKdxaNjBENZjAxNjM2ZWMtNTQwNS00MWViLWI5YTUtNzMxYmY0NTUxYzg0&amp;hl=en_US</t>
  </si>
  <si>
    <t>aysu:position paper like</t>
  </si>
  <si>
    <t>Deursen 10</t>
  </si>
  <si>
    <t>Arie van Deursen and Ali Mesbah</t>
  </si>
  <si>
    <t>Testing Web-based applications: The state of the art and future trends</t>
  </si>
  <si>
    <t>https://docs.google.com/viewer?a=v&amp;pid=explorer&amp;chrome=true&amp;srcid=0B6dKdxaNjBENZmE0NjNkYzktMjQ4YS00MmI3LTllZjUtODc4YWIwODJjODRh&amp;hl=en_US</t>
  </si>
  <si>
    <t>Dilucca 06</t>
  </si>
  <si>
    <t>G Dilucca, a Fasolino in Information and Software Technology ()</t>
  </si>
  <si>
    <t>do NOT include</t>
  </si>
  <si>
    <t>https://docs.google.com/viewer?a=v&amp;pid=explorer&amp;chrome=true&amp;srcid=0B6dKdxaNjBENZmU1N2E0NzctMGRkMC00MzY4LTg0MGQtNjNmNjllYWVkZjNj&amp;hl=en_US</t>
  </si>
  <si>
    <t>Amalfitano WSE10</t>
  </si>
  <si>
    <t>Amalfitano, D.; Fasolino, A.R.; Tramontana, P</t>
  </si>
  <si>
    <t>Amalfitano: wse2010</t>
  </si>
  <si>
    <t>serdar: ajax testing. This is more or less a survey paper which classifies techniques and tools for Ajax testing, thus we should move it to "related works". Aysu:related work</t>
  </si>
  <si>
    <t>A decent review of the related work, not a 2nd study</t>
  </si>
  <si>
    <t>Serdar: presents a testing metodology. A survey like paper</t>
  </si>
  <si>
    <t>Beatriz Marin, Tanja Vos, Giovanni Giachetti, Arthur Baars, aolo Tonella</t>
  </si>
  <si>
    <t>Spain, Italy</t>
  </si>
  <si>
    <t>Web Testing: a Roadmap for the Empirical Research</t>
  </si>
  <si>
    <t>https://docs.google.com/viewer?a=v&amp;pid=explorer&amp;chrome=true&amp;srcid=0B6dKdxaNjBENODE0NzlmMDgtNmM5My00MmFmLTljMGItZmFjYjYwY2U0MGE1&amp;hl=en_US</t>
  </si>
  <si>
    <t>not 2nd study</t>
  </si>
  <si>
    <t>Ricca 05</t>
  </si>
  <si>
    <t>Web testing: a roadmap for emprical research</t>
  </si>
  <si>
    <t>Ricca:wse2005</t>
  </si>
  <si>
    <t>serdar: describes a fault model. Covers functional testing
Vahid: A kind of overview paper which classifies the existing works. I suggest moving it to related works                   aysu:"then we evaluate the available techniques ..." in abstract.
related work seems reasonable</t>
  </si>
  <si>
    <t>Link</t>
  </si>
  <si>
    <t>Why excluded?</t>
  </si>
  <si>
    <t>Decision (criteria 1)</t>
  </si>
  <si>
    <t>Vahid-Criteria 1</t>
  </si>
  <si>
    <t>Ali-Criteria 1</t>
  </si>
  <si>
    <t>Aysu-Criteria 1</t>
  </si>
  <si>
    <t>Decision (criteria 2)</t>
  </si>
  <si>
    <t>Vahid-Criteria 2</t>
  </si>
  <si>
    <t>Ali-Criteria 2</t>
  </si>
  <si>
    <t>Aysu-Criteria 2</t>
  </si>
  <si>
    <t>A Static Analysis Framework For Detecting SQL Injection Vulnerabilities</t>
  </si>
  <si>
    <t>exclude- SQL Injection</t>
  </si>
  <si>
    <t>Fu 07</t>
  </si>
  <si>
    <t>Xiang Fu, Xin Lu, Boris Peltsverger, Shijun Chen, Kai Qian, Lixin Tao</t>
  </si>
  <si>
    <t>A String Constraint Solver for Detecting Web Application Vulnerability</t>
  </si>
  <si>
    <t>exclude- Vulnerability</t>
  </si>
  <si>
    <t>Fu 10a</t>
  </si>
  <si>
    <t>Xiang Fu, Chung-chih Li</t>
  </si>
  <si>
    <t>Automatic Generation of XSS and SQL Injection Attacks with Goal-Directed Model Checking</t>
  </si>
  <si>
    <t>exclude-SQL Injection</t>
  </si>
  <si>
    <t>Martin 08</t>
  </si>
  <si>
    <t>Michael Martin, Monica S Lam in Organization</t>
  </si>
  <si>
    <t>Combining Static Analysis and Runtime Monitoring to Counter SQL-Injection Attacks</t>
  </si>
  <si>
    <t>exclude- SQL Injection Attacks</t>
  </si>
  <si>
    <t>Halfond 05</t>
  </si>
  <si>
    <t>William G J Halfond, Alessandro Orso in October</t>
  </si>
  <si>
    <t>Design and Testing of Web Usability</t>
  </si>
  <si>
    <t>exclude- Usability</t>
  </si>
  <si>
    <t>Becker 02</t>
  </si>
  <si>
    <t>Shirley Ann Becker in Business (2002)</t>
  </si>
  <si>
    <t>Finding Security Vulnerabilities in Java Applications with Static Analysis</t>
  </si>
  <si>
    <t>exclude-Security Vulnerabilities</t>
  </si>
  <si>
    <t>Livshits 05</t>
  </si>
  <si>
    <t>V Benjamin Livshits, Monica S Lam in Architecture</t>
  </si>
  <si>
    <t>JDBC checker: a static analysis tool for SQL/JDBC applications</t>
  </si>
  <si>
    <t>Is it for web testing really? it says: "SQL/JDBC"</t>
  </si>
  <si>
    <t>Gould 04</t>
  </si>
  <si>
    <t>C. Gould, P. Devanbu in Proceedings. 26th International Conference on Software Engineering (2004)</t>
  </si>
  <si>
    <t>Pixy: A Static Analysis Tool for Detecting Web Application Vulnerabilities</t>
  </si>
  <si>
    <t>Jovanovic 06a</t>
  </si>
  <si>
    <t>N. Jovanovic, C. Kruegel, E. Kirda in 2006 IEEE Symposium on Security and Privacy (S&amp;P'06)</t>
  </si>
  <si>
    <t>Precise alias analysis for static detection of web application vulnerabilities</t>
  </si>
  <si>
    <t>Jovanovic 06b</t>
  </si>
  <si>
    <t>Nenad Jovanovic, Christopher Kruegel, Engin Kirda in Proceedings of the 2006 workshop on Programming languages and analysis for security - PLAS '06 (2006)</t>
  </si>
  <si>
    <t>Securing web application code by static analysis and runtime protection</t>
  </si>
  <si>
    <t xml:space="preserve">exclude-Security </t>
  </si>
  <si>
    <t>Huang 04</t>
  </si>
  <si>
    <t>Yao-Wen Huang, Fang Yu, Christian Hang, Chung-Hung Tsai, Der-Tsai Lee, Sy-Yen Kuo in Proceedings of the 13th conference on World Wide Web - WWW '04 (2004)</t>
  </si>
  <si>
    <t>Sound and precise analysis of web applications for injection vulnerabilities</t>
  </si>
  <si>
    <t>Wassermann 07</t>
  </si>
  <si>
    <t>Gary Wassermann, Zhendong Su in ACM SIGPLAN Notices (2007)</t>
  </si>
  <si>
    <t xml:space="preserve">Assuring quality of web-based applications  </t>
  </si>
  <si>
    <t>just editorial, 2 pages</t>
  </si>
  <si>
    <t>aysu:editorial</t>
  </si>
  <si>
    <t>Ngo 06</t>
  </si>
  <si>
    <t>Hong Zhu, David Kung</t>
  </si>
  <si>
    <t>Modeling Web Applications for Static Program Analysis</t>
  </si>
  <si>
    <t>aysu:poster</t>
  </si>
  <si>
    <t>gibson02</t>
  </si>
  <si>
    <t>Emily Gibson and Lori Pollock</t>
  </si>
  <si>
    <t>FSE02</t>
  </si>
  <si>
    <t>Search-Based Testing of Ajax Web Applications</t>
  </si>
  <si>
    <t>https://docs.google.com/viewer?a=v&amp;pid=explorer&amp;chrome=true&amp;srcid=0B6dKdxaNjBENMGRjNWY0NTItNDIwNS00NTkxLWJiOGQtNGZlNzFhNTBkYzIw&amp;hl=en_US</t>
  </si>
  <si>
    <t>Marchetto, Alessandro</t>
  </si>
  <si>
    <t>yes, 118</t>
  </si>
  <si>
    <t>Improving web application testing with user session data</t>
  </si>
  <si>
    <t>https://docs.google.com/viewer?a=v&amp;pid=explorer&amp;chrome=true&amp;srcid=0B6dKdxaNjBENYWViNjg5OTQtMzU4NS00YjA5LWE4ZjItYmFlNzI4MTc3OGZj&amp;hl=en_US</t>
  </si>
  <si>
    <t>Ali: item 74 is a journal version of this paper.</t>
  </si>
  <si>
    <t>Elbaum 03</t>
  </si>
  <si>
    <t xml:space="preserve">Sebastian Elbaum, Srikanth Karre, Gregg Rothermel </t>
  </si>
  <si>
    <t>Web Application Slicing</t>
  </si>
  <si>
    <t>https://docs.google.com/viewer?a=v&amp;pid=explorer&amp;chrome=true&amp;srcid=0B6dKdxaNjBENMDVhODAyNmMtOWJlOC00NTcyLTllZWQtNGEzZGExMDhkZjA3&amp;hl=en_US</t>
  </si>
  <si>
    <t>extended in item 123</t>
  </si>
  <si>
    <t>Ricca 01</t>
  </si>
  <si>
    <t>after the voting discussion on Aug.4, 2011 on Skype between all of us</t>
  </si>
  <si>
    <t>A Fault Detection Framework for Comparing Test Suite Reduction Techniques</t>
  </si>
  <si>
    <t>https://docs.google.com/viewer?a=v&amp;pid=explorer&amp;chrome=true&amp;srcid=0B6dKdxaNjBENZDA2OWZmMWEtZGNjMS00MmI0LTkzYjMtMWFkMDI1ZGYzMDU2&amp;hl=en_US</t>
  </si>
  <si>
    <t>V: only a poster</t>
  </si>
  <si>
    <t>gibson04</t>
  </si>
  <si>
    <t>Emily Gibson, Sreedevi Sampath, Sara Sprenkle, Lori Pollock, and Amie Souter.</t>
  </si>
  <si>
    <t>MAPLAS</t>
  </si>
  <si>
    <t>A framework and a language for usability automatic evaluation of web sites by static analysis of html source code</t>
  </si>
  <si>
    <t>abc:nonfunctional req: usability</t>
  </si>
  <si>
    <t>Beirekdar 02</t>
  </si>
  <si>
    <t>Abdo Beirekdar, Jean Vanderdonckt, Monique Noirhomme</t>
  </si>
  <si>
    <t>A Multi-Agent Software Environment for Testing Web-based Applications</t>
  </si>
  <si>
    <t>https://docs.google.com/viewer?a=v&amp;pid=explorer&amp;chrome=true&amp;srcid=0B6dKdxaNjBENMmZmYWI3Y2MtZjJkNy00N2I5LWJjN2ItZmE0OWFkMjBlOTcz&amp;hl=en_US</t>
  </si>
  <si>
    <t>V: But it is kind of interesting, using Agents in this context  Abc: i vote for including this paper</t>
  </si>
  <si>
    <t>Huo 03</t>
  </si>
  <si>
    <t>Qingning Huo, Hong Zhu, Sue Greenwood</t>
  </si>
  <si>
    <t>COMPSAC</t>
  </si>
  <si>
    <t>A semantic data validation service for web applications</t>
  </si>
  <si>
    <t>https://docs.google.com/viewer?a=v&amp;pid=explorer&amp;chrome=true&amp;srcid=0B6dKdxaNjBENZGUwZThlZWYtMWQ5Mi00MzYwLWFmYTgtZjA2ZjRiMDI4MTQ4&amp;hl=en_US</t>
  </si>
  <si>
    <t>V: deals with vulnerabilities (such as XSS or SQL injection)</t>
  </si>
  <si>
    <t>Aljawarneh 10</t>
  </si>
  <si>
    <t>Shadi Aljawarneh, Faisal Alkhateeb, Eslam Al Maghayreh</t>
  </si>
  <si>
    <t>A software tool for testing JSP designed programs</t>
  </si>
  <si>
    <t>https://docs.google.com/viewer?a=v&amp;pid=explorer&amp;chrome=true&amp;srcid=0B6dKdxaNjBENNDBmOTIwOTEtZTUxMS00ZDQ2LWFjZmItZGQ4NzExZDAzZTI1&amp;hl=en_US</t>
  </si>
  <si>
    <t>V: JSP here stands for Jackson structured programming!</t>
  </si>
  <si>
    <t>Roper 87</t>
  </si>
  <si>
    <t>R.M.F. Roper, P. Smith</t>
  </si>
  <si>
    <t>A structural testing method for JSP designed programs</t>
  </si>
  <si>
    <t>https://docs.google.com/viewer?a=v&amp;pid=explorer&amp;chrome=true&amp;srcid=0B6dKdxaNjBENNGI1OWVjNGQtMzg5OS00YWVkLWFmMWUtY2YzNmE1NjU4NmMy&amp;hl=en_US</t>
  </si>
  <si>
    <t>Roper 06</t>
  </si>
  <si>
    <t>M. Roper, P. Smith</t>
  </si>
  <si>
    <t>SPE</t>
  </si>
  <si>
    <t>A system for specification and verification of interactive, data-driven web applications</t>
  </si>
  <si>
    <t>https://docs.google.com/viewer?a=v&amp;pid=explorer&amp;chrome=true&amp;srcid=0B6dKdxaNjBENNDJjOGIwZDctMTdmNi00ZDZiLWJmMWItNmMxZjFiOTU5NmEz&amp;hl=en_US</t>
  </si>
  <si>
    <t>abc:a demo paper, experiments are demonstrated during the talk i guess</t>
  </si>
  <si>
    <t>Deutsch 06</t>
  </si>
  <si>
    <t>Alin Deutsch, Liying Sui, Victor Vianu, Dayou Zhou</t>
  </si>
  <si>
    <t>SIGMOD</t>
  </si>
  <si>
    <t>A Tool Set to Support Web Application Testing</t>
  </si>
  <si>
    <t>https://docs.google.com/viewer?a=v&amp;pid=explorer&amp;chrome=true&amp;srcid=0B6dKdxaNjBENOGQwNTVhMmQtYjJmNi00NmY2LTljOTgtZmVmODQ3MTZhNDQ2&amp;hl=en_US</t>
  </si>
  <si>
    <t>Yang 98</t>
  </si>
  <si>
    <t xml:space="preserve">Ji-tzay Yang, Jiun-long Huang, Feng-jian Wang </t>
  </si>
  <si>
    <t>A UML-Based Approach to Testing Web Applications</t>
  </si>
  <si>
    <t>https://docs.google.com/viewer?a=v&amp;pid=explorer&amp;chrome=true&amp;srcid=0B6dKdxaNjBENZDA4YjYwODEtOTI0ZC00YzIwLTkyZGQtY2M3YTZmYTdiZjU2&amp;hl=en_US</t>
  </si>
  <si>
    <t xml:space="preserve">abc: this paper can be included                         </t>
  </si>
  <si>
    <t>Li 08</t>
  </si>
  <si>
    <t>Liping Li, Huaikou Miao, Zhongsheng Qian</t>
  </si>
  <si>
    <t>ISCSCT</t>
  </si>
  <si>
    <t xml:space="preserve">Advances in Web Testing </t>
  </si>
  <si>
    <t>http://www.sciencedirect.com/science/article/pii/S006524580800805X</t>
  </si>
  <si>
    <t>abc: a book chapter, kind of a survey</t>
  </si>
  <si>
    <t>Eaton09</t>
  </si>
  <si>
    <t>Cyntrica Eaton, Atif M. Memon</t>
  </si>
  <si>
    <t>An analysis of the dynamic behavior of JavaScript programs</t>
  </si>
  <si>
    <t>https://docs.google.com/viewer?a=v&amp;pid=explorer&amp;chrome=true&amp;srcid=0B6dKdxaNjBENNTgwOTNmMGYtZGFiYS00NmQyLWE2MzgtMGUzZWZiNTlmMjQ3&amp;hl=en_US</t>
  </si>
  <si>
    <t>abc: about metrics</t>
  </si>
  <si>
    <t>Richards 10</t>
  </si>
  <si>
    <t>Gregor Richards, Sylvain Lebresne, Brian Burg, Jan Vitek</t>
  </si>
  <si>
    <t>An approach for reverse engineering of web-based applications</t>
  </si>
  <si>
    <t>https://docs.google.com/viewer?a=v&amp;pid=explorer&amp;chrome=true&amp;srcid=0B6dKdxaNjBENZTY5YTNlN2QtOTk2Yi00ZjA3LTlmN2QtNmZiOGNkZDJhNTlk&amp;hl=en_US</t>
  </si>
  <si>
    <t>Lucca 01</t>
  </si>
  <si>
    <t>G.A. Di Lucca, M. Di Penta, G. Antoniol, G. Casazza</t>
  </si>
  <si>
    <t>An Approach to Generating Test Cases for Testing Component-based Web Applications</t>
  </si>
  <si>
    <t>https://docs.google.com/viewer?a=v&amp;pid=explorer&amp;chrome=true&amp;srcid=0B6dKdxaNjBENMDBkNGIxZTctZGEzMy00MDA1LTk4MTMtMTI0NGZhODYyZGUw&amp;hl=en_US</t>
  </si>
  <si>
    <t>Ali: there is no evaluation in this paper. They only provide an example</t>
  </si>
  <si>
    <t>Miao 07</t>
  </si>
  <si>
    <t>Huaikou Miao, Shengbo Chen, Huanzhou Liu, Zhongsheng Qian</t>
  </si>
  <si>
    <t>IITA</t>
  </si>
  <si>
    <t>An Approach to Modeling and Testing Web Applications Based on Use Cases</t>
  </si>
  <si>
    <t>https://docs.google.com/viewer?a=v&amp;pid=explorer&amp;chrome=true&amp;srcid=0B6dKdxaNjBENZmZmMjNmYzUtY2NjOS00MDkxLWI4MTUtZTQwYTU5ZTM0MjU4&amp;hl=en_US</t>
  </si>
  <si>
    <t>abc:similar to item17</t>
  </si>
  <si>
    <t>Liping Li, Huaikou Miao</t>
  </si>
  <si>
    <t>ISISE</t>
  </si>
  <si>
    <t>An Approach to Testing Web Applications On-The-Fly</t>
  </si>
  <si>
    <t>https://docs.google.com/viewer?a=v&amp;pid=explorer&amp;chrome=true&amp;srcid=0B6dKdxaNjBENYjY5MGFkZGUtM2Y3ZC00Yzk5LTk5NjQtMzYxN2MwMjUwMTE2&amp;hl=en_US</t>
  </si>
  <si>
    <t>Li 09</t>
  </si>
  <si>
    <t>Liping Li, Zhongsheng Qian, Tao He</t>
  </si>
  <si>
    <t>ICMECG</t>
  </si>
  <si>
    <t>An Experimental Framework for Testing Web Prefetching Techniques</t>
  </si>
  <si>
    <t>https://docs.google.com/viewer?a=v&amp;pid=explorer&amp;chrome=true&amp;srcid=0B6dKdxaNjBENNWI5ZDUxN2UtMTZjOS00YWJhLWEyZjQtNmQ2ODg0MWEzYzE2&amp;hl=en_US</t>
  </si>
  <si>
    <t>Domenech 04</t>
  </si>
  <si>
    <t>Josep Domenech, Ana Pont, Julio Sahuquillo, Jose A. Gil</t>
  </si>
  <si>
    <t>EUROMICRO</t>
  </si>
  <si>
    <t>An Object-Oriented Architecture Supporting Web Application Testing</t>
  </si>
  <si>
    <t>https://docs.google.com/viewer?a=v&amp;pid=explorer&amp;chrome=true&amp;srcid=0B6dKdxaNjBENMzA0ZWVjOWUtNzA0YS00ZjNhLWJhYTMtNDlhY2Q0OTExYmNj&amp;hl=en_US</t>
  </si>
  <si>
    <t>Yang 99</t>
  </si>
  <si>
    <t>Ji-Tzay Yang, Jiun-Long Huang, Feng-Jian Wang, William C. Chu</t>
  </si>
  <si>
    <t>Design input test values based on domain knowledge of the program and human knowledge of testing</t>
  </si>
  <si>
    <t>An object-oriented Web test model for testing Web applications</t>
  </si>
  <si>
    <t>https://docs.google.com/viewer?a=v&amp;pid=explorer&amp;chrome=true&amp;srcid=0B6dKdxaNjBENYWVhN2RjOTItOTBiYy00YzMxLTg5YWQtYjNjMjAwZDE1NjRm&amp;hl=en_US</t>
  </si>
  <si>
    <t xml:space="preserve">Ali: there is no evaluation in this paper. </t>
  </si>
  <si>
    <t>Kung 01</t>
  </si>
  <si>
    <t>D.C. Kung</t>
  </si>
  <si>
    <t>Embed test values into executable test code (scripts)</t>
  </si>
  <si>
    <t>Applying Agent into Web Testing and Evolution</t>
  </si>
  <si>
    <t>https://docs.google.com/viewer?a=v&amp;pid=explorer&amp;chrome=true&amp;srcid=0B6dKdxaNjBENZTUzZmRhNGMtMWQyOC00NGI1LWE0OTktZWI0OTM5MTIxY2U0&amp;hl=en_US</t>
  </si>
  <si>
    <t>aysu:at thestart of a project</t>
  </si>
  <si>
    <t>Xu 04</t>
  </si>
  <si>
    <t>Baowen Xu, Lei Xu and Jixiang Jiang</t>
  </si>
  <si>
    <t>LNCS</t>
  </si>
  <si>
    <t>Evaluate results of testing, report to developers</t>
  </si>
  <si>
    <t>Applying static analysis for automated extraction of database interactions in web applications</t>
  </si>
  <si>
    <t>https://docs.google.com/viewer?a=v&amp;pid=explorer&amp;chrome=true&amp;srcid=0B6dKdxaNjBENOWExMmIwNmYtYTk0NC00MjlhLThjMDQtM2I0NGQzMGZlZWU4&amp;hl=en_US</t>
  </si>
  <si>
    <t>Ngo 08</t>
  </si>
  <si>
    <t>Minh Ngoc Ngo, Hee Beng Kuan Tan</t>
  </si>
  <si>
    <t>Automatic Ajax Application Testing</t>
  </si>
  <si>
    <t>https://docs.google.com/viewer?a=v&amp;pid=explorer&amp;chrome=true&amp;srcid=0B6dKdxaNjBENNzYwYWViODYtZGM1YS00ZTQyLWFjMzgtMDQwNTE2NWEyYzJk&amp;hl=en_US</t>
  </si>
  <si>
    <t>Salva 09</t>
  </si>
  <si>
    <t>S. Salva, P. Laurencot</t>
  </si>
  <si>
    <t>Automatically hardening web applications using precise tainting</t>
  </si>
  <si>
    <t>https://docs.google.com/viewer?a=v&amp;pid=explorer&amp;chrome=true&amp;srcid=0B6dKdxaNjBENYzc2ZTcxYjYtMjdmMy00YWUyLTlhM2MtMjk4M2QzZjcxOTk1&amp;hl=en_US</t>
  </si>
  <si>
    <t>aysu: security XSS</t>
  </si>
  <si>
    <t>Nguyen-tuong 05</t>
  </si>
  <si>
    <t>Anh Nguyen-tuong, Salvatore Guarnieri, Doug Greene, Jeff Shirley, David Evans</t>
  </si>
  <si>
    <t>Automating Functional Tests Using Selenium</t>
  </si>
  <si>
    <t>https://docs.google.com/viewer?a=v&amp;pid=explorer&amp;chrome=true&amp;srcid=0B6dKdxaNjBENMGNhYjNjYjEtYzZmMS00NTQ3LWIwMTUtNWUzY2I0YzI1MjJk&amp;hl=en_US</t>
  </si>
  <si>
    <t>aysu: experience report</t>
  </si>
  <si>
    <t>Holmes 06</t>
  </si>
  <si>
    <t>A. Holmes</t>
  </si>
  <si>
    <t xml:space="preserve">Agile </t>
  </si>
  <si>
    <t xml:space="preserve">Browser-based Analysis of Web Framework Applications </t>
  </si>
  <si>
    <t>https://docs.google.com/viewer?a=v&amp;pid=explorer&amp;chrome=true&amp;srcid=0B6dKdxaNjBENNDY3Yzk3ZGQtYWQxYi00NGVhLWIxNzYtYzIwYWQ0NThkZGEx&amp;hl=en_US</t>
  </si>
  <si>
    <t>aysu: enables verification and testing, kind of runtime model extraction</t>
  </si>
  <si>
    <t>Kersten 10</t>
  </si>
  <si>
    <t xml:space="preserve">Benjamin Kersten and Michael Goedicke </t>
  </si>
  <si>
    <t>Building a Tool for the Analysis and Testing of Web Applications- Problems and Solutions</t>
  </si>
  <si>
    <t>https://docs.google.com/viewer?a=v&amp;pid=explorer&amp;chrome=true&amp;srcid=0B6dKdxaNjBENODUyNWI5YzktN2MwYy00NjlmLTk2ZmEtMTU3NmIwZTA5NjE4&amp;hl=en_US</t>
  </si>
  <si>
    <t xml:space="preserve"> Ali: this is almost the same as item 30 by the same authors</t>
  </si>
  <si>
    <t>Ricca 01b</t>
  </si>
  <si>
    <t>Business Process-Based Testing of Web Applications</t>
  </si>
  <si>
    <t>https://docs.google.com/viewer?a=v&amp;pid=explorer&amp;chrome=true&amp;srcid=0B6dKdxaNjBENNmRiMTc4OGYtYTY1Ni00MTQ4LTg5YzUtMWQyZmRmNmJmODEz&amp;hl=en_US</t>
  </si>
  <si>
    <t>aysu:work inprogress</t>
  </si>
  <si>
    <t>Heinecke 11</t>
  </si>
  <si>
    <t>Andreas Heinecke, Tobias Griebe, Volker Gruhn and Holger Flemig</t>
  </si>
  <si>
    <t xml:space="preserve">Considering Browser Interaction in Web Application Testing  </t>
  </si>
  <si>
    <t>https://docs.google.com/viewer?a=v&amp;pid=explorer&amp;chrome=true&amp;srcid=0B6dKdxaNjBENNTIyMjM4NGUtYTJkZi00NGU0LWJmZTAtN2YxNDM4MWNmZjZh&amp;hl=en_US</t>
  </si>
  <si>
    <t>DiLucca03</t>
  </si>
  <si>
    <t>Giuseppe Di Lucca, Massimiliano Di Penta</t>
  </si>
  <si>
    <t>Cross-Site Scripting Prevention with Dynamic Data Tainting and Static Analysis</t>
  </si>
  <si>
    <t>https://docs.google.com/viewer?a=v&amp;pid=explorer&amp;chrome=true&amp;srcid=0B6dKdxaNjBENOWE1YjRhNTctZGE0NS00ZGI1LThiMzEtYzhhNTljNjBkYmYx&amp;hl=en_US</t>
  </si>
  <si>
    <t>Vogt 07</t>
  </si>
  <si>
    <t xml:space="preserve">Philipp Vogt, Florian Nentwich, Nenad Jovanovic, Engin Kirda, Christopher Kruegel, Giovanni Vigna </t>
  </si>
  <si>
    <t>GULFSTREAM : Staged Static Analysis for Streaming JavaScript Applications</t>
  </si>
  <si>
    <t>https://docs.google.com/viewer?a=v&amp;pid=explorer&amp;chrome=true&amp;srcid=0B6dKdxaNjBENNDRkY2VlNmUtMmM5OC00ZmZmLWIxZGEtODAzYzgxNzI1ZDlj&amp;hl=en_US</t>
  </si>
  <si>
    <t>Guarnieri 10</t>
  </si>
  <si>
    <t>Salvatore Guarnieri, Benjamin Livshits</t>
  </si>
  <si>
    <t>Harnessing Web-based Application Similarities to Aid in Regression Testing</t>
  </si>
  <si>
    <t>https://docs.google.com/viewer?a=v&amp;pid=explorer&amp;chrome=true&amp;srcid=0B6dKdxaNjBENYzE4Y2VhNjAtZWZkMS00NjM4LThiMzEtMzg4Yzg2OTI1ZmM2&amp;hl=en_US</t>
  </si>
  <si>
    <t>Dobolyi 09</t>
  </si>
  <si>
    <t>Kinga Dobolyi and Westley Weimer</t>
  </si>
  <si>
    <t>Hourly analysis of a very large topically categorized web query log</t>
  </si>
  <si>
    <t>https://docs.google.com/viewer?a=v&amp;pid=explorer&amp;chrome=true&amp;srcid=0B6dKdxaNjBENYzZmOWJhMjYtZWU0OC00NTIzLTg2YWQtZDkyNWJlYTIwMDlk&amp;hl=en_US</t>
  </si>
  <si>
    <t>aysu:web service</t>
  </si>
  <si>
    <t>Beitzel 04</t>
  </si>
  <si>
    <t xml:space="preserve">Steven M. Beitzel, Eric C. Jensen, Abdur Chowdhury, David Grossman, Ophir Frieder </t>
  </si>
  <si>
    <t>Model checking-based testing of Web applications</t>
  </si>
  <si>
    <t>https://docs.google.com/viewer?a=v&amp;pid=explorer&amp;chrome=true&amp;srcid=0B6dKdxaNjBENYmRiYWI1NWEtNDFkNS00YzE0LWIwMzktYjQzMDZiYTVmZDAw&amp;hl=en_US</t>
  </si>
  <si>
    <t>Zeng 07</t>
  </si>
  <si>
    <t>Hongwei Zeng and Huaikou Miao</t>
  </si>
  <si>
    <t>Multi-faceted quality and defect measurement for web software and source contents</t>
  </si>
  <si>
    <t>https://docs.google.com/viewer?a=v&amp;pid=explorer&amp;chrome=true&amp;srcid=0B6dKdxaNjBENMmNhYzI5NTAtNzkyZS00MjgzLTlhMDgtYmU2NjBiNWJiYzI4&amp;hl=en_US</t>
  </si>
  <si>
    <t>aysu:cannot access the paper</t>
  </si>
  <si>
    <t>Li10</t>
  </si>
  <si>
    <t>Zhao Li, Nasser Alaeddine, Jeff Tian</t>
  </si>
  <si>
    <t>Ontology-Based Web Application Testing</t>
  </si>
  <si>
    <t>https://docs.google.com/viewer?a=v&amp;pid=explorer&amp;chrome=true&amp;srcid=0B6dKdxaNjBENY2E0MzFkNTUtOTAwOS00ZjIxLTljOWItZWRjMWY0ZTg1OWYz&amp;hl=en_US</t>
  </si>
  <si>
    <t>Novel Algorithms and Techniques in Telecommunications and Networking</t>
  </si>
  <si>
    <t>Paydar 10</t>
  </si>
  <si>
    <t>Samad Paydar and Mohsen Kahani</t>
  </si>
  <si>
    <t>Book chapter</t>
  </si>
  <si>
    <t>Prevalence and Classification of Web Page Defects</t>
  </si>
  <si>
    <t>https://docs.google.com/viewer?a=v&amp;pid=explorer&amp;chrome=true&amp;srcid=0B6dKdxaNjBENNTEyMjNkYWQtMWU3OC00MGRkLWFlYzMtNjAwY2FmZTY2MTM5&amp;hl=en_US</t>
  </si>
  <si>
    <t>aysu:survey about the quality status of web pages in 2010, could be useful</t>
  </si>
  <si>
    <t>Ofuonye 10</t>
  </si>
  <si>
    <t>E. Ofuonye, P. Beatty, S. Dick, J. Miller</t>
  </si>
  <si>
    <t>Online Information Review</t>
  </si>
  <si>
    <t>Regression Testing for Web Applications Based on Slicing</t>
  </si>
  <si>
    <t>https://docs.google.com/viewer?a=v&amp;pid=explorer&amp;chrome=true&amp;srcid=0B6dKdxaNjBENYjI3OTliOGQtZWEwZi00OWYxLWI0N2YtOGVmMzNjMjgzNjc4&amp;hl=en_US</t>
  </si>
  <si>
    <t>Ali: short paper, with no evaluation.</t>
  </si>
  <si>
    <t>Xu 03</t>
  </si>
  <si>
    <t>Lei Xu, Baowen Xu, Zhenqiang Chen, Jixiang Jiang, Huowang Chen</t>
  </si>
  <si>
    <t>Regression Testing Web Applications</t>
  </si>
  <si>
    <t>https://docs.google.com/viewer?a=v&amp;pid=explorer&amp;chrome=true&amp;srcid=0B6dKdxaNjBENMjZjOWQ3OWQtYzhhOC00Nzk3LTljOTEtNzFiZDlmNDRkMmNi&amp;hl=en_US</t>
  </si>
  <si>
    <t>aysu:cannot access this paper</t>
  </si>
  <si>
    <t>Tarhini 08</t>
  </si>
  <si>
    <t>Abbas Tarhini, Zahi Ismail, Nashat Mansour in </t>
  </si>
  <si>
    <t>Relational Constraint Driven Test Case Synthesis for Web Applications</t>
  </si>
  <si>
    <t>https://docs.google.com/viewer?a=v&amp;pid=explorer&amp;chrome=true&amp;srcid=0B6dKdxaNjBENYTUzYmVjYTctN2JlMy00NzE2LThkZmItMDNmNzgxNWUzYTU4&amp;hl=en_US</t>
  </si>
  <si>
    <t>Fu 10b</t>
  </si>
  <si>
    <t xml:space="preserve">Xiang Fu </t>
  </si>
  <si>
    <t>TAVWEB</t>
  </si>
  <si>
    <t xml:space="preserve">Rigorous and Automatic Testing of Web Applications  </t>
  </si>
  <si>
    <t>https://docs.google.com/viewer?a=v&amp;pid=explorer&amp;chrome=true&amp;srcid=0B6dKdxaNjBENYTIzYTAzNDYtMWU5MC00YjVjLWFkMjUtMzAxODUwNzY4YTIx&amp;hl=en_US</t>
  </si>
  <si>
    <t>Jia02</t>
  </si>
  <si>
    <t xml:space="preserve">Xiaoping Jia, Hongming Liu </t>
  </si>
  <si>
    <t>Saner: Composing Static and Dynamic Analysis to Validate Sanitization in Web Applications</t>
  </si>
  <si>
    <t>https://docs.google.com/viewer?a=v&amp;pid=explorer&amp;chrome=true&amp;srcid=0B6dKdxaNjBENMWFiOGIyODktNGM4MC00NzgzLWEwMjYtMGFjYmE5MWNlOThj&amp;hl=en_US</t>
  </si>
  <si>
    <t>aysu:sanitization -security</t>
  </si>
  <si>
    <t>Balzarotti 08</t>
  </si>
  <si>
    <t>Davide Balzarotti, Marco Cova, Vika Felmetsger, Nenad Jovanovic, Engin Kirda, Christopher Kruegel</t>
  </si>
  <si>
    <t>Slicing Java Server Pages Application</t>
  </si>
  <si>
    <t>https://docs.google.com/viewer?a=v&amp;pid=explorer&amp;chrome=true&amp;srcid=0B6dKdxaNjBENZTA4MTczMTgtOGY3MS00OGVjLTgwNzEtODlmMjkwY2RiNzFh&amp;hl=en_US</t>
  </si>
  <si>
    <t>Sahu 08</t>
  </si>
  <si>
    <t>Tonella, Paolo</t>
  </si>
  <si>
    <t>Testing an E-Government Web Site</t>
  </si>
  <si>
    <t>https://docs.google.com/viewer?a=v&amp;pid=explorer&amp;chrome=true&amp;srcid=0B6dKdxaNjBENMzRkNTRjOTctZGU0OS00MGVlLWFkN2MtNGU2YWNkYzBjYmI1&amp;hl=en_US</t>
  </si>
  <si>
    <t>aysu: keynote speech</t>
  </si>
  <si>
    <t>Sneed 05</t>
  </si>
  <si>
    <t>Harry M. Sneed</t>
  </si>
  <si>
    <t>Testing and Fault Diagnosis for Web Application Compatibility Based on Combinatorial Method</t>
  </si>
  <si>
    <t>https://docs.google.com/viewer?a=v&amp;pid=explorer&amp;chrome=true&amp;srcid=0B6dKdxaNjBENOTQyYmY4YTUtZmIzNy00NzJkLThlNGYtMGE5OWVkZGJhMDRl&amp;hl=en_US</t>
  </si>
  <si>
    <t>Xu 05</t>
  </si>
  <si>
    <t>Lei Xu, Baowen Xu and Changhai Nie</t>
  </si>
  <si>
    <t>Testing Web Applications Focusing on Their Specialties</t>
  </si>
  <si>
    <t>https://docs.google.com/viewer?a=v&amp;pid=explorer&amp;chrome=true&amp;srcid=0B6dKdxaNjBENMGQ3N2QzMjgtZjkzMS00N2RlLThlY2ItMTRlMDBkOTIwZjVj&amp;hl=en_US</t>
  </si>
  <si>
    <t>aysu:not a good paper</t>
  </si>
  <si>
    <t>Lei Xu, Baowen Xu, Jixiang Jiang</t>
  </si>
  <si>
    <t>Towards Specification-based Web Testing</t>
  </si>
  <si>
    <t>https://docs.google.com/viewer?a=v&amp;pid=explorer&amp;chrome=true&amp;srcid=0B6dKdxaNjBENYjg5ODNjMTItZjA0Ny00NDY1LTg4NWEtNjNiYWI0MzcyMTg5&amp;hl=en_US</t>
  </si>
  <si>
    <t>aysu:work in progress</t>
  </si>
  <si>
    <t>Chen 02</t>
  </si>
  <si>
    <t>J. Chen, S. Chovanec</t>
  </si>
  <si>
    <t>NETWORKING</t>
  </si>
  <si>
    <t>Untangling the woven web: Testing web-based software</t>
  </si>
  <si>
    <t>https://docs.google.com/viewer?a=v&amp;pid=explorer&amp;chrome=true&amp;srcid=0B6dKdxaNjBENYTdiYTUwMGEtYzNhMy00M2UwLWIwY2UtYTc2ZDFmNzkzYTQ3&amp;hl=en_US</t>
  </si>
  <si>
    <t>Mcgraw 96</t>
  </si>
  <si>
    <t>Gary Mcgraw</t>
  </si>
  <si>
    <t>Using static analysis for Ajax intrusion detection</t>
  </si>
  <si>
    <t>https://docs.google.com/viewer?a=v&amp;pid=explorer&amp;chrome=true&amp;srcid=0B6dKdxaNjBENYmExZDAzMDAtMzE3MC00ZWZmLTliZGItYjQ2NTUzZjEzNjg0&amp;hl=en_US</t>
  </si>
  <si>
    <t>Guha 09</t>
  </si>
  <si>
    <t>Arjun Guha, Shriram Krishnamurthi, Trevor Jim</t>
  </si>
  <si>
    <t xml:space="preserve">WWW </t>
  </si>
  <si>
    <t>licata04</t>
  </si>
  <si>
    <t>WARE: a tool for the reverse engineering of Web applications</t>
  </si>
  <si>
    <t>https://docs.google.com/viewer?a=v&amp;pid=explorer&amp;chrome=true&amp;srcid=0B6dKdxaNjBENNTdjYWViOGMtY2E4My00MzY0LWFlYmUtNTk1ODA1ZDEyNWY2&amp;hl=en_US</t>
  </si>
  <si>
    <t>Lucca 02b</t>
  </si>
  <si>
    <t>G.A. Di Lucca, A.R. Fasolino, Pace, F. ; Tramontana, P. ; De Carlini, U.</t>
  </si>
  <si>
    <t>Automated Reverse Engineering of UML Sequence Diagrams for Dynamic Web Applications</t>
  </si>
  <si>
    <t>https://docs.google.com/viewer?a=v&amp;pid=explorer&amp;chrome=true&amp;srcid=0B6dKdxaNjBENMmMyODBjOWYtNjM0NC00MTExLWFjMTItNTA3MzRhNTUyYzQx&amp;hl=en_US</t>
  </si>
  <si>
    <t>aysu:helps testing but not directly testing. just model extraction</t>
  </si>
  <si>
    <t>Manar Alalfi, James Cordy and Thomas Dean</t>
  </si>
  <si>
    <t>Object-Based Data Flow Testing of Web Applications</t>
  </si>
  <si>
    <t>https://docs.google.com/viewer?a=v&amp;pid=explorer&amp;chrome=true&amp;srcid=0B6dKdxaNjBENZmQ3ZjFlYjktYzgxYy00MjQ3LWJlYmEtMjM4OTcxNTZmOTBj&amp;hl=en_US</t>
  </si>
  <si>
    <t>Ali: No evaluation, merely an example.</t>
  </si>
  <si>
    <t>Liu 00a</t>
  </si>
  <si>
    <t>Chien-hung Liu, David C Kung</t>
  </si>
  <si>
    <t>just an example</t>
  </si>
  <si>
    <t>simple example</t>
  </si>
  <si>
    <t>about 4 web pages</t>
  </si>
  <si>
    <t xml:space="preserve">Structural Testing of Web Applications </t>
  </si>
  <si>
    <t>https://docs.google.com/viewer?a=v&amp;pid=explorer&amp;chrome=true&amp;srcid=0B6dKdxaNjBENMTdjNzk5MjYtNWQzMy00OGIwLWFhMTQtZGJjM2MxNjBkYmRi&amp;hl=en_US</t>
  </si>
  <si>
    <t>Liu 00b</t>
  </si>
  <si>
    <t>a simple example</t>
  </si>
  <si>
    <t>excluded in the SLR process, April-May 2013</t>
  </si>
  <si>
    <t>FA</t>
  </si>
  <si>
    <t>https://docs.google.com/file/d/0Bw8z7TlbmHSJMzV6M2Z5ajV6SlE/edit</t>
  </si>
  <si>
    <t>Ocariza:icst2012</t>
  </si>
  <si>
    <t>Serdar: This is a fault localization study. May be out of the scope of functional testing</t>
  </si>
  <si>
    <t>Serdar: A general overview paper. Not focusing on functional WAT</t>
  </si>
  <si>
    <t>Jeff Offutt</t>
  </si>
  <si>
    <t>IEEESOFT</t>
  </si>
  <si>
    <t>https://docs.google.com/file/d/0Bw8z7TlbmHSJLWRObXd3NVRCN2c/edit</t>
  </si>
  <si>
    <t>Serdar: Security testing (XSS etc.)</t>
  </si>
  <si>
    <t>https://docs.google.com/file/d/0Bw8z7TlbmHSJRHdFc3lqM2NnTDA/edit</t>
  </si>
  <si>
    <t>Praphamontripong:icst2012</t>
  </si>
  <si>
    <t>Serdar: poor evaluation</t>
  </si>
  <si>
    <t>Xu:cw2004</t>
  </si>
  <si>
    <t>Alpuente:entcs2005</t>
  </si>
  <si>
    <t>Vahid: evaluation is SO weak, just a few examples</t>
  </si>
  <si>
    <t>aysu: there is no case study but the algorithm is analyzed. "due to space limitation test results are not presented here." maybe there is another version of this paper</t>
  </si>
  <si>
    <t>He:cso2009</t>
  </si>
  <si>
    <t>Serdar: poor evaluation. Aysu: there are proofs instead of experiment. i think proof is an evaluation. However, it is not clear what a web component means, if web service then it is out of scope. Vahid: poor eval</t>
  </si>
  <si>
    <t>aysu: proposal</t>
  </si>
  <si>
    <t>aysu:phd</t>
  </si>
  <si>
    <t>Vahid: analysis is for the purpose of comprehsion, and not testing. thus not in the area of WAT Aysu: could be considered as enabling tech. but not directly wat</t>
  </si>
  <si>
    <t>Alalfi:stvr 2008</t>
  </si>
  <si>
    <t>serdar: a survey about modeling methods used in website verification and testing. Vahid: please move to related work. Aysu: related work</t>
  </si>
  <si>
    <t>https://docs.google.com/file/d/0Bw8z7TlbmHSJSjRPUnJId0NveWM/edit</t>
  </si>
  <si>
    <t>Mouelhi: icst2011</t>
  </si>
  <si>
    <t>serdar: User input validation testing. Kind of a security testing. Can it be accepted as functional testing? 
Vahid: Not a functional testing approach.</t>
  </si>
  <si>
    <t>https://docs.google.com/file/d/0Bw8z7TlbmHSJTkpmTjR6cS1sckE/edit</t>
  </si>
  <si>
    <t>aysu: running example+it is applied in [8] and [9] but the results are discussed briefly in discussion section</t>
  </si>
  <si>
    <t>https://docs.google.com/file/d/0Bw8z7TlbmHSJWEJ1OFJNWGhZOTg/edit</t>
  </si>
  <si>
    <t>Antoniol:program conprehension ws2004</t>
  </si>
  <si>
    <t>serdar: paper is about extracting UML diagrams from WAs. Subject is not about testing. Vahid: Yes, dynamic analysis is used for reverse engineering UML models.</t>
  </si>
  <si>
    <t>Kempa:ist2002</t>
  </si>
  <si>
    <t>serdar: kind of a dtd verifier for xml outputs. Seems to be out of our scope. 
Vahid: I agree with Serdar</t>
  </si>
  <si>
    <t>Krishnamurti:etncs2006</t>
  </si>
  <si>
    <t>Vahid: from the abstract: "This paper provides a personal outline of one thread of work on this topic." !?</t>
  </si>
  <si>
    <t>Wincler:entcs2006</t>
  </si>
  <si>
    <t>serdar: models the navigation of web application and analysis the usability  aysu:enabler tech, but not directly testing. no evalutation</t>
  </si>
  <si>
    <t>https://docs.google.com/file/d/0Bw8z7TlbmHSJSE9aZExaV2RKNHM/edit</t>
  </si>
  <si>
    <t>Wu:eeesym2012</t>
  </si>
  <si>
    <t>aysu:just 1 experience. not a research paper</t>
  </si>
  <si>
    <t>Dulz:swqd2013</t>
  </si>
  <si>
    <t>aysu: not WA testing but testing in general</t>
  </si>
  <si>
    <t>https://docs.google.com/file/d/0Bw8z7TlbmHSJektIYWk2ekE0T1E/edit</t>
  </si>
  <si>
    <t>Lelli:icst2013</t>
  </si>
  <si>
    <t>serdar: evaluation is weak. aysu: phd proposal. Vahid: not about web testing</t>
  </si>
  <si>
    <t>https://docs.google.com/file/d/0Bw8z7TlbmHSJOVZqNGlPa1ZVQXM/edit</t>
  </si>
  <si>
    <t>Li:icsea2007</t>
  </si>
  <si>
    <t>Vahid: I think User Input Validation Testing relates to robustness testing and not functional testing</t>
  </si>
  <si>
    <t>Deutsch:jcss2007</t>
  </si>
  <si>
    <t>serdar: covers both web services and web applications. Vahid: no evaluations Aysu: there are proofs  such as Thm 5.3. This is a formal verification paper. Maybe we should focus on testing and remove the previosly included verification papers</t>
  </si>
  <si>
    <t>static analysis (test enabler)</t>
  </si>
  <si>
    <t>impact of test-suite reduction on cost/benefit</t>
  </si>
  <si>
    <t>Tanida:icsoft:2011</t>
  </si>
  <si>
    <t>aysu:"validate the navigation behavior of the web application. We present several case studies to validate the proposed approach on real-world web applications."</t>
  </si>
  <si>
    <t>Donini:entcs2006</t>
  </si>
  <si>
    <t>Serdar : verification of the UML design of WA. Not sure if this is in our scope.        Aysu: This is the journal version of a previous paper "design verification of WA using symbolic model checking".  Need to exclude the previous one then.</t>
  </si>
  <si>
    <t>https://docs.google.com/file/d/0Bw8z7TlbmHSJSnU5VkFWSVAzOFE/edit</t>
  </si>
  <si>
    <t>https://docs.google.com/file/d/0Bw8z7TlbmHSJdmk5R2xRQUJZOVE/edit</t>
  </si>
  <si>
    <t>Falah:jsse2013</t>
  </si>
  <si>
    <t xml:space="preserve">aysu: sanityzing is used in security but here a different purpose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</si>
</sst>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0&quot; PhP&quot;"/>
  </numFmts>
  <fonts count="22">
    <font>
      <sz val="10.0"/>
      <color rgb="FF000000"/>
      <name val="Arial"/>
    </font>
    <font>
      <b/>
      <sz val="10.0"/>
    </font>
    <font>
      <b/>
      <sz val="10.0"/>
      <color rgb="FF5B0F00"/>
    </font>
    <font/>
    <font>
      <b/>
      <sz val="10.0"/>
      <color rgb="FFFF0000"/>
    </font>
    <font>
      <sz val="10.0"/>
      <color rgb="FF000000"/>
    </font>
    <font>
      <u/>
      <sz val="10.0"/>
      <color rgb="FF0000FF"/>
    </font>
    <font>
      <b/>
      <sz val="12.0"/>
    </font>
    <font>
      <sz val="10.0"/>
      <color rgb="FFFF0000"/>
    </font>
    <font>
      <u/>
      <sz val="10.0"/>
      <color rgb="FF0000FF"/>
    </font>
    <font>
      <u/>
      <color rgb="FF0000FF"/>
    </font>
    <font>
      <u/>
      <color rgb="FF0000FF"/>
    </font>
    <font>
      <u/>
      <color rgb="FF0000FF"/>
    </font>
    <font>
      <u/>
      <color rgb="FF0000FF"/>
    </font>
    <font>
      <u/>
      <color rgb="FF0000FF"/>
    </font>
    <font>
      <sz val="10.0"/>
      <color rgb="FFFF9900"/>
    </font>
    <font>
      <b/>
      <sz val="10.0"/>
      <color rgb="FF000000"/>
    </font>
    <font>
      <sz val="10.0"/>
      <color rgb="FF980000"/>
    </font>
    <font>
      <sz val="24.0"/>
      <color rgb="FFFF0000"/>
    </font>
    <font>
      <sz val="30.0"/>
      <color rgb="FFFF0000"/>
    </font>
    <font>
      <sz val="10.0"/>
      <color rgb="FF969696"/>
    </font>
    <font>
      <sz val="10.0"/>
      <color rgb="FFC0C0C0"/>
    </font>
  </fonts>
  <fills count="37">
    <fill>
      <patternFill patternType="none"/>
    </fill>
    <fill>
      <patternFill patternType="lightGray"/>
    </fill>
    <fill>
      <patternFill patternType="solid">
        <fgColor rgb="FFFF9900"/>
        <bgColor rgb="FFFF9900"/>
      </patternFill>
    </fill>
    <fill>
      <patternFill patternType="solid">
        <fgColor rgb="FFC9DAF8"/>
        <bgColor rgb="FFC9DAF8"/>
      </patternFill>
    </fill>
    <fill>
      <patternFill patternType="solid">
        <fgColor rgb="FFF4CCCC"/>
        <bgColor rgb="FFF4CCCC"/>
      </patternFill>
    </fill>
    <fill>
      <patternFill patternType="solid">
        <fgColor rgb="FFD9D9D9"/>
        <bgColor rgb="FFD9D9D9"/>
      </patternFill>
    </fill>
    <fill>
      <patternFill patternType="solid">
        <fgColor rgb="FFC2D1F0"/>
        <bgColor rgb="FFC2D1F0"/>
      </patternFill>
    </fill>
    <fill>
      <patternFill patternType="solid">
        <fgColor rgb="FFF1C232"/>
        <bgColor rgb="FFF1C232"/>
      </patternFill>
    </fill>
    <fill>
      <patternFill patternType="solid">
        <fgColor rgb="FFFADCB3"/>
        <bgColor rgb="FFFADCB3"/>
      </patternFill>
    </fill>
    <fill>
      <patternFill patternType="solid">
        <fgColor rgb="FF99CCFF"/>
        <bgColor rgb="FF99CCFF"/>
      </patternFill>
    </fill>
    <fill>
      <patternFill patternType="solid">
        <fgColor rgb="FFFFCC99"/>
        <bgColor rgb="FFFFCC99"/>
      </patternFill>
    </fill>
    <fill>
      <patternFill patternType="solid">
        <fgColor rgb="FFEA9999"/>
        <bgColor rgb="FFEA9999"/>
      </patternFill>
    </fill>
    <fill>
      <patternFill patternType="solid">
        <fgColor rgb="FFBDE6E1"/>
        <bgColor rgb="FFBDE6E1"/>
      </patternFill>
    </fill>
    <fill>
      <patternFill patternType="solid">
        <fgColor rgb="FFB3D580"/>
        <bgColor rgb="FFB3D580"/>
      </patternFill>
    </fill>
    <fill>
      <patternFill patternType="solid">
        <fgColor rgb="FFCCFFCC"/>
        <bgColor rgb="FFCCFFCC"/>
      </patternFill>
    </fill>
    <fill>
      <patternFill patternType="solid">
        <fgColor rgb="FFCC99FF"/>
        <bgColor rgb="FFCC99FF"/>
      </patternFill>
    </fill>
    <fill>
      <patternFill patternType="solid">
        <fgColor rgb="FFFFCC00"/>
        <bgColor rgb="FFFFCC00"/>
      </patternFill>
    </fill>
    <fill>
      <patternFill patternType="solid">
        <fgColor rgb="FF99CC00"/>
        <bgColor rgb="FF99CC00"/>
      </patternFill>
    </fill>
    <fill>
      <patternFill patternType="solid">
        <fgColor rgb="FFFFFF99"/>
        <bgColor rgb="FFFFFF99"/>
      </patternFill>
    </fill>
    <fill>
      <patternFill patternType="solid">
        <fgColor rgb="FFB6D7A8"/>
        <bgColor rgb="FFB6D7A8"/>
      </patternFill>
    </fill>
    <fill>
      <patternFill patternType="solid">
        <fgColor rgb="FFA4C2F4"/>
        <bgColor rgb="FFA4C2F4"/>
      </patternFill>
    </fill>
    <fill>
      <patternFill patternType="solid">
        <fgColor rgb="FFD9EAD3"/>
        <bgColor rgb="FFD9EAD3"/>
      </patternFill>
    </fill>
    <fill>
      <patternFill patternType="solid">
        <fgColor rgb="FFFFF2CC"/>
        <bgColor rgb="FFFFF2CC"/>
      </patternFill>
    </fill>
    <fill>
      <patternFill patternType="solid">
        <fgColor rgb="FFB7B7B7"/>
        <bgColor rgb="FFB7B7B7"/>
      </patternFill>
    </fill>
    <fill>
      <patternFill patternType="solid">
        <fgColor rgb="FFCCFFFF"/>
        <bgColor rgb="FFCCFFFF"/>
      </patternFill>
    </fill>
    <fill>
      <patternFill patternType="solid">
        <fgColor rgb="FFFF6600"/>
        <bgColor rgb="FFFF6600"/>
      </patternFill>
    </fill>
    <fill>
      <patternFill patternType="solid">
        <fgColor rgb="FFDDDDDD"/>
        <bgColor rgb="FFDDDDDD"/>
      </patternFill>
    </fill>
    <fill>
      <patternFill patternType="solid">
        <fgColor rgb="FFFFFFFF"/>
        <bgColor rgb="FFFFFFFF"/>
      </patternFill>
    </fill>
    <fill>
      <patternFill patternType="solid">
        <fgColor rgb="FFEFEFEF"/>
        <bgColor rgb="FFEFEFEF"/>
      </patternFill>
    </fill>
    <fill>
      <patternFill patternType="solid">
        <fgColor rgb="FFCFE2F3"/>
        <bgColor rgb="FFCFE2F3"/>
      </patternFill>
    </fill>
    <fill>
      <patternFill patternType="solid">
        <fgColor rgb="FFEBD780"/>
        <bgColor rgb="FFEBD780"/>
      </patternFill>
    </fill>
    <fill>
      <patternFill patternType="solid">
        <fgColor rgb="FFFFFF00"/>
        <bgColor rgb="FFFFFF00"/>
      </patternFill>
    </fill>
    <fill>
      <patternFill patternType="solid">
        <fgColor rgb="FFFCE5CD"/>
        <bgColor rgb="FFFCE5CD"/>
      </patternFill>
    </fill>
    <fill>
      <patternFill patternType="solid">
        <fgColor rgb="FFFF00FF"/>
        <bgColor rgb="FFFF00FF"/>
      </patternFill>
    </fill>
    <fill>
      <patternFill patternType="solid">
        <fgColor rgb="FFF3F3F3"/>
        <bgColor rgb="FFF3F3F3"/>
      </patternFill>
    </fill>
    <fill>
      <patternFill patternType="solid">
        <fgColor rgb="FFFFF9E6"/>
        <bgColor rgb="FFFFF9E6"/>
      </patternFill>
    </fill>
    <fill>
      <patternFill patternType="solid">
        <fgColor rgb="FFFF0000"/>
        <bgColor rgb="FFFF0000"/>
      </patternFill>
    </fill>
  </fills>
  <borders count="3">
    <border/>
    <border>
      <bottom style="thin">
        <color rgb="FF000000"/>
      </bottom>
    </border>
    <border>
      <top style="thin">
        <color rgb="FF000000"/>
      </top>
    </border>
  </borders>
  <cellStyleXfs count="1">
    <xf borderId="0" fillId="0" fontId="0" numFmtId="0" applyAlignment="1" applyFont="1"/>
  </cellStyleXfs>
  <cellXfs count="253">
    <xf borderId="0" fillId="0" fontId="0" numFmtId="0" xfId="0" applyAlignment="1" applyFont="1">
      <alignment readingOrder="0" shrinkToFit="0" vertical="bottom" wrapText="1"/>
    </xf>
    <xf borderId="0" fillId="2" fontId="1" numFmtId="0" xfId="0" applyAlignment="1" applyFill="1" applyFont="1">
      <alignment shrinkToFit="0" wrapText="1"/>
    </xf>
    <xf borderId="0" fillId="0" fontId="2" numFmtId="0" xfId="0" applyAlignment="1" applyFont="1">
      <alignment horizontal="right" shrinkToFit="0" vertical="bottom" wrapText="1"/>
    </xf>
    <xf borderId="0" fillId="0" fontId="2" numFmtId="0" xfId="0" applyAlignment="1" applyFont="1">
      <alignment shrinkToFit="0" vertical="bottom" wrapText="0"/>
    </xf>
    <xf borderId="0" fillId="0" fontId="2" numFmtId="0" xfId="0" applyAlignment="1" applyFont="1">
      <alignment shrinkToFit="0" wrapText="1"/>
    </xf>
    <xf borderId="0" fillId="3" fontId="1" numFmtId="0" xfId="0" applyAlignment="1" applyFill="1" applyFont="1">
      <alignment horizontal="center" readingOrder="0" shrinkToFit="0" vertical="bottom" wrapText="1"/>
    </xf>
    <xf borderId="0" fillId="4" fontId="1" numFmtId="0" xfId="0" applyAlignment="1" applyFill="1" applyFont="1">
      <alignment shrinkToFit="0" wrapText="1"/>
    </xf>
    <xf borderId="0" fillId="5" fontId="3" numFmtId="0" xfId="0" applyAlignment="1" applyFill="1" applyFont="1">
      <alignment shrinkToFit="0" wrapText="1"/>
    </xf>
    <xf borderId="0" fillId="6" fontId="1" numFmtId="0" xfId="0" applyAlignment="1" applyFill="1" applyFont="1">
      <alignment horizontal="center" shrinkToFit="0" vertical="bottom" wrapText="1"/>
    </xf>
    <xf borderId="0" fillId="0" fontId="2" numFmtId="0" xfId="0" applyAlignment="1" applyFont="1">
      <alignment horizontal="left" shrinkToFit="0" vertical="bottom" wrapText="1"/>
    </xf>
    <xf borderId="0" fillId="0" fontId="1" numFmtId="0" xfId="0" applyAlignment="1" applyFont="1">
      <alignment shrinkToFit="0" wrapText="1"/>
    </xf>
    <xf borderId="0" fillId="7" fontId="1" numFmtId="0" xfId="0" applyAlignment="1" applyFill="1" applyFont="1">
      <alignment shrinkToFit="0" wrapText="1"/>
    </xf>
    <xf borderId="0" fillId="8" fontId="1" numFmtId="0" xfId="0" applyAlignment="1" applyFill="1" applyFont="1">
      <alignment horizontal="center" readingOrder="0" shrinkToFit="0" vertical="bottom" wrapText="1"/>
    </xf>
    <xf borderId="0" fillId="0" fontId="1" numFmtId="0" xfId="0" applyAlignment="1" applyFont="1">
      <alignment shrinkToFit="0" wrapText="1"/>
    </xf>
    <xf borderId="0" fillId="6" fontId="1" numFmtId="0" xfId="0" applyAlignment="1" applyFont="1">
      <alignment horizontal="center" readingOrder="0" shrinkToFit="0" vertical="bottom" wrapText="1"/>
    </xf>
    <xf borderId="0" fillId="6" fontId="1" numFmtId="0" xfId="0" applyAlignment="1" applyFont="1">
      <alignment shrinkToFit="0" wrapText="1"/>
    </xf>
    <xf borderId="0" fillId="0" fontId="1" numFmtId="0" xfId="0" applyAlignment="1" applyFont="1">
      <alignment horizontal="center" shrinkToFit="0" vertical="bottom" wrapText="1"/>
    </xf>
    <xf borderId="0" fillId="0" fontId="1" numFmtId="164" xfId="0" applyAlignment="1" applyFont="1" applyNumberFormat="1">
      <alignment horizontal="center" shrinkToFit="0" vertical="bottom" wrapText="1"/>
    </xf>
    <xf borderId="0" fillId="9" fontId="1" numFmtId="0" xfId="0" applyAlignment="1" applyFill="1" applyFont="1">
      <alignment horizontal="center" readingOrder="0" shrinkToFit="0" vertical="bottom" wrapText="1"/>
    </xf>
    <xf borderId="0" fillId="10" fontId="1" numFmtId="0" xfId="0" applyAlignment="1" applyFill="1" applyFont="1">
      <alignment horizontal="center" readingOrder="0" shrinkToFit="0" vertical="bottom" wrapText="1"/>
    </xf>
    <xf borderId="0" fillId="11" fontId="1" numFmtId="0" xfId="0" applyAlignment="1" applyFill="1" applyFont="1">
      <alignment horizontal="center" readingOrder="0" shrinkToFit="0" vertical="bottom" wrapText="1"/>
    </xf>
    <xf borderId="0" fillId="11" fontId="1" numFmtId="0" xfId="0" applyAlignment="1" applyFont="1">
      <alignment horizontal="center" shrinkToFit="0" vertical="bottom" wrapText="1"/>
    </xf>
    <xf borderId="0" fillId="4" fontId="1" numFmtId="0" xfId="0" applyAlignment="1" applyFont="1">
      <alignment horizontal="center" readingOrder="0" shrinkToFit="0" vertical="bottom" wrapText="1"/>
    </xf>
    <xf borderId="0" fillId="12" fontId="1" numFmtId="0" xfId="0" applyAlignment="1" applyFill="1" applyFont="1">
      <alignment horizontal="center" readingOrder="0" shrinkToFit="0" vertical="bottom" wrapText="1"/>
    </xf>
    <xf borderId="0" fillId="13" fontId="1" numFmtId="0" xfId="0" applyAlignment="1" applyFill="1" applyFont="1">
      <alignment horizontal="center" readingOrder="0" shrinkToFit="0" vertical="bottom" wrapText="1"/>
    </xf>
    <xf borderId="0" fillId="14" fontId="1" numFmtId="0" xfId="0" applyAlignment="1" applyFill="1" applyFont="1">
      <alignment horizontal="center" readingOrder="0" shrinkToFit="0" vertical="bottom" wrapText="1"/>
    </xf>
    <xf borderId="0" fillId="15" fontId="1" numFmtId="0" xfId="0" applyAlignment="1" applyFill="1" applyFont="1">
      <alignment horizontal="center" readingOrder="0" shrinkToFit="0" vertical="bottom" wrapText="1"/>
    </xf>
    <xf borderId="0" fillId="16" fontId="1" numFmtId="0" xfId="0" applyAlignment="1" applyFill="1" applyFont="1">
      <alignment horizontal="center" readingOrder="0" shrinkToFit="0" vertical="bottom" wrapText="1"/>
    </xf>
    <xf borderId="0" fillId="17" fontId="1" numFmtId="0" xfId="0" applyAlignment="1" applyFill="1" applyFont="1">
      <alignment horizontal="center" readingOrder="0" shrinkToFit="0" vertical="bottom" wrapText="1"/>
    </xf>
    <xf borderId="0" fillId="18" fontId="1" numFmtId="0" xfId="0" applyAlignment="1" applyFill="1" applyFont="1">
      <alignment readingOrder="0" shrinkToFit="0" wrapText="1"/>
    </xf>
    <xf borderId="0" fillId="19" fontId="1" numFmtId="0" xfId="0" applyAlignment="1" applyFill="1" applyFont="1">
      <alignment horizontal="center" readingOrder="0" shrinkToFit="0" vertical="bottom" wrapText="1"/>
    </xf>
    <xf borderId="0" fillId="19" fontId="1" numFmtId="0" xfId="0" applyAlignment="1" applyFont="1">
      <alignment horizontal="center" shrinkToFit="0" vertical="bottom" wrapText="1"/>
    </xf>
    <xf borderId="0" fillId="20" fontId="1" numFmtId="0" xfId="0" applyAlignment="1" applyFill="1" applyFont="1">
      <alignment horizontal="center" shrinkToFit="0" vertical="bottom" wrapText="1"/>
    </xf>
    <xf borderId="0" fillId="21" fontId="1" numFmtId="0" xfId="0" applyAlignment="1" applyFill="1" applyFont="1">
      <alignment readingOrder="0" shrinkToFit="0" wrapText="1"/>
    </xf>
    <xf borderId="0" fillId="22" fontId="1" numFmtId="0" xfId="0" applyAlignment="1" applyFill="1" applyFont="1">
      <alignment readingOrder="0" shrinkToFit="0" wrapText="1"/>
    </xf>
    <xf borderId="0" fillId="22" fontId="1" numFmtId="0" xfId="0" applyAlignment="1" applyFont="1">
      <alignment horizontal="center" shrinkToFit="0" vertical="bottom" wrapText="1"/>
    </xf>
    <xf borderId="0" fillId="21" fontId="1" numFmtId="0" xfId="0" applyAlignment="1" applyFont="1">
      <alignment horizontal="center" readingOrder="0" shrinkToFit="0" vertical="bottom" wrapText="1"/>
    </xf>
    <xf borderId="0" fillId="23" fontId="1" numFmtId="0" xfId="0" applyAlignment="1" applyFill="1" applyFont="1">
      <alignment horizontal="center" readingOrder="0" shrinkToFit="0" vertical="bottom" wrapText="1"/>
    </xf>
    <xf borderId="0" fillId="3" fontId="1" numFmtId="0" xfId="0" applyAlignment="1" applyFont="1">
      <alignment horizontal="center" shrinkToFit="0" vertical="bottom" wrapText="1"/>
    </xf>
    <xf borderId="0" fillId="24" fontId="1" numFmtId="0" xfId="0" applyAlignment="1" applyFill="1" applyFont="1">
      <alignment readingOrder="0" shrinkToFit="0" wrapText="1"/>
    </xf>
    <xf borderId="0" fillId="16" fontId="1" numFmtId="0" xfId="0" applyAlignment="1" applyFont="1">
      <alignment readingOrder="0" shrinkToFit="0" wrapText="1"/>
    </xf>
    <xf borderId="0" fillId="9" fontId="1" numFmtId="0" xfId="0" applyAlignment="1" applyFont="1">
      <alignment horizontal="center" readingOrder="0" shrinkToFit="0" vertical="center" wrapText="1"/>
    </xf>
    <xf borderId="0" fillId="2" fontId="1" numFmtId="0" xfId="0" applyAlignment="1" applyFont="1">
      <alignment horizontal="center" readingOrder="0" shrinkToFit="0" vertical="bottom" wrapText="1"/>
    </xf>
    <xf borderId="0" fillId="11" fontId="3" numFmtId="0" xfId="0" applyAlignment="1" applyFont="1">
      <alignment readingOrder="0" shrinkToFit="0" wrapText="1"/>
    </xf>
    <xf borderId="0" fillId="11" fontId="3" numFmtId="0" xfId="0" applyAlignment="1" applyFont="1">
      <alignment shrinkToFit="0" wrapText="1"/>
    </xf>
    <xf borderId="0" fillId="19" fontId="3" numFmtId="0" xfId="0" applyAlignment="1" applyFont="1">
      <alignment readingOrder="0" shrinkToFit="0" wrapText="1"/>
    </xf>
    <xf borderId="0" fillId="19" fontId="3" numFmtId="0" xfId="0" applyAlignment="1" applyFont="1">
      <alignment shrinkToFit="0" wrapText="1"/>
    </xf>
    <xf borderId="0" fillId="3" fontId="3" numFmtId="0" xfId="0" applyAlignment="1" applyFont="1">
      <alignment readingOrder="0" shrinkToFit="0" wrapText="1"/>
    </xf>
    <xf borderId="0" fillId="3" fontId="3" numFmtId="0" xfId="0" applyAlignment="1" applyFont="1">
      <alignment shrinkToFit="0" wrapText="1"/>
    </xf>
    <xf borderId="0" fillId="2" fontId="1" numFmtId="0" xfId="0" applyAlignment="1" applyFont="1">
      <alignment readingOrder="0" shrinkToFit="0" wrapText="1"/>
    </xf>
    <xf borderId="0" fillId="22" fontId="3" numFmtId="0" xfId="0" applyAlignment="1" applyFont="1">
      <alignment readingOrder="0" shrinkToFit="0" wrapText="1"/>
    </xf>
    <xf borderId="0" fillId="25" fontId="3" numFmtId="0" xfId="0" applyAlignment="1" applyFill="1" applyFont="1">
      <alignment readingOrder="0" shrinkToFit="0" wrapText="1"/>
    </xf>
    <xf borderId="0" fillId="3" fontId="3" numFmtId="0" xfId="0" applyAlignment="1" applyFont="1">
      <alignment horizontal="center" readingOrder="0" shrinkToFit="0" vertical="bottom" wrapText="1"/>
    </xf>
    <xf borderId="0" fillId="4" fontId="3" numFmtId="0" xfId="0" applyAlignment="1" applyFont="1">
      <alignment readingOrder="0" shrinkToFit="0" wrapText="1"/>
    </xf>
    <xf borderId="0" fillId="4" fontId="4" numFmtId="0" xfId="0" applyAlignment="1" applyFont="1">
      <alignment readingOrder="0" shrinkToFit="0" wrapText="1"/>
    </xf>
    <xf borderId="0" fillId="6" fontId="3" numFmtId="0" xfId="0" applyAlignment="1" applyFont="1">
      <alignment readingOrder="0" shrinkToFit="0" wrapText="1"/>
    </xf>
    <xf borderId="0" fillId="17" fontId="3" numFmtId="0" xfId="0" applyAlignment="1" applyFont="1">
      <alignment readingOrder="0" shrinkToFit="0" wrapText="1"/>
    </xf>
    <xf borderId="0" fillId="18" fontId="3" numFmtId="0" xfId="0" applyAlignment="1" applyFont="1">
      <alignment readingOrder="0" shrinkToFit="0" wrapText="1"/>
    </xf>
    <xf borderId="0" fillId="7" fontId="3" numFmtId="0" xfId="0" applyAlignment="1" applyFont="1">
      <alignment readingOrder="0" shrinkToFit="0" wrapText="1"/>
    </xf>
    <xf borderId="0" fillId="8" fontId="1" numFmtId="0" xfId="0" applyAlignment="1" applyFont="1">
      <alignment readingOrder="0" shrinkToFit="0" wrapText="1"/>
    </xf>
    <xf borderId="0" fillId="8" fontId="3" numFmtId="0" xfId="0" applyAlignment="1" applyFont="1">
      <alignment readingOrder="0" shrinkToFit="0" wrapText="1"/>
    </xf>
    <xf borderId="0" fillId="0" fontId="3" numFmtId="0" xfId="0" applyAlignment="1" applyFont="1">
      <alignment shrinkToFit="0" wrapText="1"/>
    </xf>
    <xf borderId="0" fillId="6" fontId="5" numFmtId="0" xfId="0" applyAlignment="1" applyFont="1">
      <alignment readingOrder="0" shrinkToFit="0" wrapText="1"/>
    </xf>
    <xf borderId="0" fillId="6" fontId="3" numFmtId="164" xfId="0" applyAlignment="1" applyFont="1" applyNumberFormat="1">
      <alignment readingOrder="0" shrinkToFit="0" wrapText="1"/>
    </xf>
    <xf borderId="0" fillId="9" fontId="3" numFmtId="0" xfId="0" applyAlignment="1" applyFont="1">
      <alignment horizontal="center" readingOrder="0" shrinkToFit="0" vertical="bottom" wrapText="1"/>
    </xf>
    <xf borderId="0" fillId="10" fontId="5" numFmtId="0" xfId="0" applyAlignment="1" applyFont="1">
      <alignment horizontal="center" readingOrder="0" shrinkToFit="0" wrapText="1"/>
    </xf>
    <xf borderId="0" fillId="10" fontId="3" numFmtId="0" xfId="0" applyAlignment="1" applyFont="1">
      <alignment horizontal="center" readingOrder="0" shrinkToFit="0" wrapText="1"/>
    </xf>
    <xf borderId="0" fillId="10" fontId="3" numFmtId="0" xfId="0" applyAlignment="1" applyFont="1">
      <alignment horizontal="center" readingOrder="0" shrinkToFit="0" vertical="bottom" wrapText="1"/>
    </xf>
    <xf borderId="0" fillId="11" fontId="3" numFmtId="0" xfId="0" applyAlignment="1" applyFont="1">
      <alignment horizontal="center" readingOrder="0" shrinkToFit="0" vertical="bottom" wrapText="1"/>
    </xf>
    <xf borderId="0" fillId="4" fontId="3" numFmtId="0" xfId="0" applyAlignment="1" applyFont="1">
      <alignment horizontal="center" shrinkToFit="0" vertical="bottom" wrapText="1"/>
    </xf>
    <xf borderId="0" fillId="12" fontId="3" numFmtId="0" xfId="0" applyAlignment="1" applyFont="1">
      <alignment horizontal="center" readingOrder="0" shrinkToFit="0" vertical="bottom" wrapText="1"/>
    </xf>
    <xf borderId="0" fillId="13" fontId="3" numFmtId="0" xfId="0" applyAlignment="1" applyFont="1">
      <alignment horizontal="center" readingOrder="0" shrinkToFit="0" vertical="bottom" wrapText="1"/>
    </xf>
    <xf borderId="0" fillId="14" fontId="3" numFmtId="0" xfId="0" applyAlignment="1" applyFont="1">
      <alignment horizontal="center" readingOrder="0" shrinkToFit="0" vertical="bottom" wrapText="1"/>
    </xf>
    <xf borderId="0" fillId="0" fontId="3" numFmtId="0" xfId="0" applyAlignment="1" applyFont="1">
      <alignment horizontal="center" readingOrder="0" shrinkToFit="0" vertical="bottom" wrapText="1"/>
    </xf>
    <xf borderId="0" fillId="0" fontId="3" numFmtId="0" xfId="0" applyAlignment="1" applyFont="1">
      <alignment horizontal="center" shrinkToFit="0" vertical="bottom" wrapText="1"/>
    </xf>
    <xf borderId="0" fillId="15" fontId="3" numFmtId="0" xfId="0" applyAlignment="1" applyFont="1">
      <alignment horizontal="center" readingOrder="0" shrinkToFit="0" vertical="bottom" wrapText="1"/>
    </xf>
    <xf borderId="0" fillId="8" fontId="3" numFmtId="0" xfId="0" applyAlignment="1" applyFont="1">
      <alignment horizontal="center" readingOrder="0" shrinkToFit="0" vertical="bottom" wrapText="1"/>
    </xf>
    <xf borderId="0" fillId="16" fontId="3" numFmtId="0" xfId="0" applyAlignment="1" applyFont="1">
      <alignment readingOrder="0" shrinkToFit="0" wrapText="1"/>
    </xf>
    <xf borderId="0" fillId="16" fontId="5" numFmtId="0" xfId="0" applyAlignment="1" applyFont="1">
      <alignment readingOrder="0" shrinkToFit="0" wrapText="1"/>
    </xf>
    <xf borderId="0" fillId="20" fontId="3" numFmtId="0" xfId="0" applyAlignment="1" applyFont="1">
      <alignment horizontal="center" readingOrder="0" shrinkToFit="0" vertical="bottom" wrapText="1"/>
    </xf>
    <xf borderId="0" fillId="0" fontId="3" numFmtId="0" xfId="0" applyAlignment="1" applyFont="1">
      <alignment readingOrder="0" shrinkToFit="0" wrapText="1"/>
    </xf>
    <xf borderId="0" fillId="22" fontId="3" numFmtId="0" xfId="0" applyAlignment="1" applyFont="1">
      <alignment horizontal="center" readingOrder="0" shrinkToFit="0" vertical="bottom" wrapText="1"/>
    </xf>
    <xf borderId="0" fillId="22" fontId="3" numFmtId="0" xfId="0" applyAlignment="1" applyFont="1">
      <alignment horizontal="center" shrinkToFit="0" vertical="bottom" wrapText="1"/>
    </xf>
    <xf borderId="0" fillId="23" fontId="3" numFmtId="0" xfId="0" applyAlignment="1" applyFont="1">
      <alignment readingOrder="0" shrinkToFit="0" wrapText="1"/>
    </xf>
    <xf borderId="0" fillId="3" fontId="3" numFmtId="0" xfId="0" applyAlignment="1" applyFont="1">
      <alignment horizontal="center" shrinkToFit="0" vertical="bottom" wrapText="1"/>
    </xf>
    <xf borderId="0" fillId="24" fontId="3" numFmtId="0" xfId="0" applyAlignment="1" applyFont="1">
      <alignment readingOrder="0" shrinkToFit="0" wrapText="1"/>
    </xf>
    <xf borderId="0" fillId="10" fontId="3" numFmtId="0" xfId="0" applyAlignment="1" applyFont="1">
      <alignment readingOrder="0" shrinkToFit="0" wrapText="1"/>
    </xf>
    <xf borderId="0" fillId="9" fontId="3" numFmtId="0" xfId="0" applyAlignment="1" applyFont="1">
      <alignment readingOrder="0" shrinkToFit="0" wrapText="1"/>
    </xf>
    <xf borderId="0" fillId="13" fontId="3" numFmtId="0" xfId="0" applyAlignment="1" applyFont="1">
      <alignment readingOrder="0" shrinkToFit="0" wrapText="1"/>
    </xf>
    <xf borderId="0" fillId="2" fontId="5" numFmtId="0" xfId="0" applyAlignment="1" applyFont="1">
      <alignment readingOrder="0" shrinkToFit="0" wrapText="1"/>
    </xf>
    <xf borderId="0" fillId="2" fontId="3" numFmtId="0" xfId="0" applyAlignment="1" applyFont="1">
      <alignment readingOrder="0" shrinkToFit="0" wrapText="1"/>
    </xf>
    <xf borderId="0" fillId="2" fontId="3" numFmtId="3" xfId="0" applyAlignment="1" applyFont="1" applyNumberFormat="1">
      <alignment readingOrder="0" shrinkToFit="0" wrapText="1"/>
    </xf>
    <xf borderId="0" fillId="11" fontId="5" numFmtId="0" xfId="0" applyAlignment="1" applyFont="1">
      <alignment readingOrder="0" shrinkToFit="0" wrapText="1"/>
    </xf>
    <xf borderId="0" fillId="19" fontId="5" numFmtId="0" xfId="0" applyAlignment="1" applyFont="1">
      <alignment readingOrder="0" shrinkToFit="0" wrapText="1"/>
    </xf>
    <xf borderId="0" fillId="5" fontId="6" numFmtId="0" xfId="0" applyAlignment="1" applyFont="1">
      <alignment readingOrder="0" shrinkToFit="0" vertical="bottom" wrapText="0"/>
    </xf>
    <xf borderId="0" fillId="5" fontId="3" numFmtId="0" xfId="0" applyAlignment="1" applyFont="1">
      <alignment readingOrder="0" shrinkToFit="0" wrapText="1"/>
    </xf>
    <xf borderId="0" fillId="5" fontId="7" numFmtId="0" xfId="0" applyAlignment="1" applyFont="1">
      <alignment horizontal="center" shrinkToFit="0" vertical="bottom" wrapText="1"/>
    </xf>
    <xf borderId="0" fillId="5" fontId="3" numFmtId="0" xfId="0" applyAlignment="1" applyFont="1">
      <alignment shrinkToFit="0" wrapText="1"/>
    </xf>
    <xf borderId="0" fillId="5" fontId="5" numFmtId="0" xfId="0" applyAlignment="1" applyFont="1">
      <alignment readingOrder="0" shrinkToFit="0" wrapText="1"/>
    </xf>
    <xf borderId="0" fillId="5" fontId="3" numFmtId="164" xfId="0" applyAlignment="1" applyFont="1" applyNumberFormat="1">
      <alignment shrinkToFit="0" wrapText="1"/>
    </xf>
    <xf borderId="0" fillId="5" fontId="3" numFmtId="0" xfId="0" applyAlignment="1" applyFont="1">
      <alignment horizontal="center" shrinkToFit="0" vertical="bottom" wrapText="1"/>
    </xf>
    <xf borderId="0" fillId="5" fontId="8" numFmtId="0" xfId="0" applyAlignment="1" applyFont="1">
      <alignment horizontal="center" shrinkToFit="0" vertical="bottom" wrapText="1"/>
    </xf>
    <xf borderId="0" fillId="5" fontId="3" numFmtId="0" xfId="0" applyAlignment="1" applyFont="1">
      <alignment horizontal="center" readingOrder="0" shrinkToFit="0" vertical="bottom" wrapText="1"/>
    </xf>
    <xf borderId="0" fillId="5" fontId="3" numFmtId="0" xfId="0" applyAlignment="1" applyFont="1">
      <alignment horizontal="center" shrinkToFit="0" vertical="bottom" wrapText="1"/>
    </xf>
    <xf borderId="0" fillId="5" fontId="5" numFmtId="0" xfId="0" applyAlignment="1" applyFont="1">
      <alignment horizontal="center" readingOrder="0" shrinkToFit="0" vertical="bottom" wrapText="1"/>
    </xf>
    <xf borderId="0" fillId="5" fontId="3" numFmtId="3" xfId="0" applyAlignment="1" applyFont="1" applyNumberFormat="1">
      <alignment readingOrder="0" shrinkToFit="0" wrapText="1"/>
    </xf>
    <xf borderId="0" fillId="0" fontId="9" numFmtId="0" xfId="0" applyAlignment="1" applyFont="1">
      <alignment readingOrder="0" shrinkToFit="0" vertical="bottom" wrapText="0"/>
    </xf>
    <xf borderId="0" fillId="26" fontId="7" numFmtId="0" xfId="0" applyAlignment="1" applyFill="1" applyFont="1">
      <alignment horizontal="center" shrinkToFit="0" vertical="bottom" wrapText="1"/>
    </xf>
    <xf borderId="0" fillId="0" fontId="3" numFmtId="164" xfId="0" applyAlignment="1" applyFont="1" applyNumberFormat="1">
      <alignment shrinkToFit="0" wrapText="1"/>
    </xf>
    <xf borderId="0" fillId="0" fontId="8" numFmtId="0" xfId="0" applyAlignment="1" applyFont="1">
      <alignment horizontal="center" shrinkToFit="0" vertical="bottom" wrapText="1"/>
    </xf>
    <xf borderId="0" fillId="0" fontId="3" numFmtId="0" xfId="0" applyAlignment="1" applyFont="1">
      <alignment horizontal="center" shrinkToFit="0" vertical="bottom" wrapText="1"/>
    </xf>
    <xf borderId="0" fillId="27" fontId="3" numFmtId="0" xfId="0" applyAlignment="1" applyFill="1" applyFont="1">
      <alignment horizontal="center" shrinkToFit="0" vertical="bottom" wrapText="1"/>
    </xf>
    <xf borderId="0" fillId="0" fontId="3" numFmtId="3" xfId="0" applyAlignment="1" applyFont="1" applyNumberFormat="1">
      <alignment readingOrder="0" shrinkToFit="0" wrapText="1"/>
    </xf>
    <xf borderId="0" fillId="0" fontId="10" numFmtId="0" xfId="0" applyAlignment="1" applyFont="1">
      <alignment readingOrder="0" shrinkToFit="0" vertical="bottom" wrapText="0"/>
    </xf>
    <xf borderId="0" fillId="0" fontId="5" numFmtId="0" xfId="0" applyAlignment="1" applyFont="1">
      <alignment readingOrder="0" shrinkToFit="0" wrapText="1"/>
    </xf>
    <xf borderId="0" fillId="0" fontId="1" numFmtId="0" xfId="0" applyAlignment="1" applyFont="1">
      <alignment readingOrder="0" shrinkToFit="0" wrapText="1"/>
    </xf>
    <xf borderId="0" fillId="0" fontId="3" numFmtId="3" xfId="0" applyAlignment="1" applyFont="1" applyNumberFormat="1">
      <alignment shrinkToFit="0" wrapText="1"/>
    </xf>
    <xf borderId="0" fillId="5" fontId="11" numFmtId="0" xfId="0" applyAlignment="1" applyFont="1">
      <alignment readingOrder="0" shrinkToFit="0" vertical="bottom" wrapText="0"/>
    </xf>
    <xf borderId="0" fillId="5" fontId="12" numFmtId="0" xfId="0" applyAlignment="1" applyFont="1">
      <alignment readingOrder="0" shrinkToFit="0" wrapText="1"/>
    </xf>
    <xf borderId="0" fillId="5" fontId="1" numFmtId="0" xfId="0" applyAlignment="1" applyFont="1">
      <alignment shrinkToFit="0" wrapText="1"/>
    </xf>
    <xf borderId="0" fillId="5" fontId="5" numFmtId="0" xfId="0" applyAlignment="1" applyFont="1">
      <alignment shrinkToFit="0" wrapText="1"/>
    </xf>
    <xf borderId="0" fillId="5" fontId="3" numFmtId="3" xfId="0" applyAlignment="1" applyFont="1" applyNumberFormat="1">
      <alignment shrinkToFit="0" wrapText="1"/>
    </xf>
    <xf borderId="0" fillId="27" fontId="3" numFmtId="0" xfId="0" applyAlignment="1" applyFont="1">
      <alignment shrinkToFit="0" wrapText="1"/>
    </xf>
    <xf borderId="0" fillId="0" fontId="8" numFmtId="0" xfId="0" applyAlignment="1" applyFont="1">
      <alignment shrinkToFit="0" wrapText="1"/>
    </xf>
    <xf borderId="0" fillId="0" fontId="8" numFmtId="0" xfId="0" applyAlignment="1" applyFont="1">
      <alignment readingOrder="0" shrinkToFit="0" wrapText="1"/>
    </xf>
    <xf borderId="0" fillId="27" fontId="3" numFmtId="0" xfId="0" applyAlignment="1" applyFont="1">
      <alignment horizontal="center" readingOrder="0" shrinkToFit="0" vertical="bottom" wrapText="1"/>
    </xf>
    <xf borderId="0" fillId="0" fontId="13" numFmtId="0" xfId="0" applyAlignment="1" applyFont="1">
      <alignment readingOrder="0" shrinkToFit="0" wrapText="1"/>
    </xf>
    <xf borderId="0" fillId="0" fontId="5" numFmtId="0" xfId="0" applyAlignment="1" applyFont="1">
      <alignment shrinkToFit="0" wrapText="1"/>
    </xf>
    <xf borderId="0" fillId="0" fontId="8" numFmtId="0" xfId="0" applyAlignment="1" applyFont="1">
      <alignment horizontal="center" shrinkToFit="0" vertical="bottom" wrapText="1"/>
    </xf>
    <xf borderId="0" fillId="28" fontId="5" numFmtId="0" xfId="0" applyAlignment="1" applyFill="1" applyFont="1">
      <alignment readingOrder="0" shrinkToFit="0" wrapText="1"/>
    </xf>
    <xf borderId="0" fillId="28" fontId="14" numFmtId="0" xfId="0" applyAlignment="1" applyFont="1">
      <alignment readingOrder="0" shrinkToFit="0" vertical="bottom" wrapText="0"/>
    </xf>
    <xf borderId="0" fillId="28" fontId="3" numFmtId="0" xfId="0" applyAlignment="1" applyFont="1">
      <alignment readingOrder="0" shrinkToFit="0" wrapText="1"/>
    </xf>
    <xf borderId="0" fillId="28" fontId="7" numFmtId="0" xfId="0" applyAlignment="1" applyFont="1">
      <alignment horizontal="center" shrinkToFit="0" vertical="bottom" wrapText="1"/>
    </xf>
    <xf borderId="0" fillId="28" fontId="3" numFmtId="0" xfId="0" applyAlignment="1" applyFont="1">
      <alignment shrinkToFit="0" wrapText="1"/>
    </xf>
    <xf borderId="0" fillId="28" fontId="3" numFmtId="0" xfId="0" applyAlignment="1" applyFont="1">
      <alignment shrinkToFit="0" wrapText="1"/>
    </xf>
    <xf borderId="0" fillId="28" fontId="3" numFmtId="164" xfId="0" applyAlignment="1" applyFont="1" applyNumberFormat="1">
      <alignment shrinkToFit="0" wrapText="1"/>
    </xf>
    <xf borderId="0" fillId="28" fontId="3" numFmtId="0" xfId="0" applyAlignment="1" applyFont="1">
      <alignment horizontal="center" shrinkToFit="0" vertical="bottom" wrapText="1"/>
    </xf>
    <xf borderId="0" fillId="28" fontId="8" numFmtId="0" xfId="0" applyAlignment="1" applyFont="1">
      <alignment horizontal="center" shrinkToFit="0" vertical="bottom" wrapText="1"/>
    </xf>
    <xf borderId="0" fillId="28" fontId="3" numFmtId="0" xfId="0" applyAlignment="1" applyFont="1">
      <alignment horizontal="center" readingOrder="0" shrinkToFit="0" vertical="bottom" wrapText="1"/>
    </xf>
    <xf borderId="0" fillId="28" fontId="3" numFmtId="0" xfId="0" applyAlignment="1" applyFont="1">
      <alignment horizontal="center" shrinkToFit="0" vertical="bottom" wrapText="1"/>
    </xf>
    <xf borderId="0" fillId="28" fontId="3" numFmtId="3" xfId="0" applyAlignment="1" applyFont="1" applyNumberFormat="1">
      <alignment shrinkToFit="0" wrapText="1"/>
    </xf>
    <xf borderId="0" fillId="5" fontId="3" numFmtId="165" xfId="0" applyAlignment="1" applyFont="1" applyNumberFormat="1">
      <alignment readingOrder="0" shrinkToFit="0" wrapText="1"/>
    </xf>
    <xf borderId="0" fillId="5" fontId="1" numFmtId="0" xfId="0" applyAlignment="1" applyFont="1">
      <alignment readingOrder="0" shrinkToFit="0" wrapText="1"/>
    </xf>
    <xf borderId="0" fillId="8" fontId="5" numFmtId="0" xfId="0" applyAlignment="1" applyFont="1">
      <alignment readingOrder="0" shrinkToFit="0" wrapText="1"/>
    </xf>
    <xf borderId="0" fillId="0" fontId="7" numFmtId="0" xfId="0" applyAlignment="1" applyFont="1">
      <alignment horizontal="center" shrinkToFit="0" vertical="bottom" wrapText="1"/>
    </xf>
    <xf borderId="0" fillId="29" fontId="3" numFmtId="0" xfId="0" applyAlignment="1" applyFill="1" applyFont="1">
      <alignment readingOrder="0" shrinkToFit="0" wrapText="1"/>
    </xf>
    <xf borderId="0" fillId="5" fontId="15" numFmtId="0" xfId="0" applyAlignment="1" applyFont="1">
      <alignment horizontal="center" shrinkToFit="0" vertical="bottom" wrapText="1"/>
    </xf>
    <xf borderId="0" fillId="9" fontId="5" numFmtId="0" xfId="0" applyAlignment="1" applyFont="1">
      <alignment readingOrder="0" shrinkToFit="0" wrapText="1"/>
    </xf>
    <xf borderId="0" fillId="5" fontId="8" numFmtId="0" xfId="0" applyAlignment="1" applyFont="1">
      <alignment shrinkToFit="0" wrapText="1"/>
    </xf>
    <xf borderId="0" fillId="9" fontId="3" numFmtId="0" xfId="0" applyAlignment="1" applyFont="1">
      <alignment shrinkToFit="0" wrapText="1"/>
    </xf>
    <xf borderId="0" fillId="9" fontId="1" numFmtId="0" xfId="0" applyAlignment="1" applyFont="1">
      <alignment readingOrder="0" shrinkToFit="0" vertical="bottom" wrapText="0"/>
    </xf>
    <xf borderId="0" fillId="9" fontId="1" numFmtId="0" xfId="0" applyAlignment="1" applyFont="1">
      <alignment shrinkToFit="0" wrapText="1"/>
    </xf>
    <xf borderId="0" fillId="9" fontId="1" numFmtId="0" xfId="0" applyAlignment="1" applyFont="1">
      <alignment horizontal="center" shrinkToFit="0" vertical="bottom" wrapText="1"/>
    </xf>
    <xf borderId="0" fillId="9" fontId="3" numFmtId="0" xfId="0" applyAlignment="1" applyFont="1">
      <alignment shrinkToFit="0" wrapText="1"/>
    </xf>
    <xf borderId="0" fillId="9" fontId="1" numFmtId="0" xfId="0" applyAlignment="1" applyFont="1">
      <alignment shrinkToFit="0" wrapText="1"/>
    </xf>
    <xf borderId="0" fillId="9" fontId="5" numFmtId="0" xfId="0" applyAlignment="1" applyFont="1">
      <alignment shrinkToFit="0" wrapText="1"/>
    </xf>
    <xf borderId="0" fillId="9" fontId="1" numFmtId="0" xfId="0" applyAlignment="1" applyFont="1">
      <alignment horizontal="center" shrinkToFit="0" vertical="bottom" wrapText="1"/>
    </xf>
    <xf borderId="0" fillId="2" fontId="1" numFmtId="4" xfId="0" applyAlignment="1" applyFont="1" applyNumberFormat="1">
      <alignment shrinkToFit="0" wrapText="1"/>
    </xf>
    <xf borderId="0" fillId="0" fontId="3" numFmtId="4" xfId="0" applyAlignment="1" applyFont="1" applyNumberFormat="1">
      <alignment shrinkToFit="0" wrapText="1"/>
    </xf>
    <xf borderId="0" fillId="0" fontId="1" numFmtId="4" xfId="0" applyAlignment="1" applyFont="1" applyNumberFormat="1">
      <alignment shrinkToFit="0" wrapText="1"/>
    </xf>
    <xf borderId="0" fillId="26" fontId="3" numFmtId="4" xfId="0" applyAlignment="1" applyFont="1" applyNumberFormat="1">
      <alignment horizontal="center" shrinkToFit="0" vertical="bottom" wrapText="1"/>
    </xf>
    <xf borderId="0" fillId="0" fontId="5" numFmtId="4" xfId="0" applyAlignment="1" applyFont="1" applyNumberFormat="1">
      <alignment shrinkToFit="0" wrapText="1"/>
    </xf>
    <xf borderId="0" fillId="0" fontId="3" numFmtId="4" xfId="0" applyAlignment="1" applyFont="1" applyNumberFormat="1">
      <alignment readingOrder="0" shrinkToFit="0" wrapText="1"/>
    </xf>
    <xf borderId="0" fillId="0" fontId="3" numFmtId="4" xfId="0" applyAlignment="1" applyFont="1" applyNumberFormat="1">
      <alignment horizontal="center" shrinkToFit="0" vertical="bottom" wrapText="1"/>
    </xf>
    <xf borderId="0" fillId="0" fontId="1" numFmtId="0" xfId="0" applyAlignment="1" applyFont="1">
      <alignment shrinkToFit="0" vertical="bottom" wrapText="0"/>
    </xf>
    <xf borderId="0" fillId="26" fontId="3" numFmtId="0" xfId="0" applyAlignment="1" applyFont="1">
      <alignment horizontal="center" shrinkToFit="0" vertical="bottom" wrapText="1"/>
    </xf>
    <xf borderId="0" fillId="27" fontId="3" numFmtId="0" xfId="0" applyAlignment="1" applyFont="1">
      <alignment horizontal="center" shrinkToFit="0" vertical="bottom" wrapText="1"/>
    </xf>
    <xf borderId="0" fillId="30" fontId="1" numFmtId="0" xfId="0" applyAlignment="1" applyFill="1" applyFont="1">
      <alignment horizontal="center" readingOrder="0" shrinkToFit="0" wrapText="1"/>
    </xf>
    <xf borderId="0" fillId="30" fontId="1" numFmtId="0" xfId="0" applyAlignment="1" applyFont="1">
      <alignment horizontal="center" shrinkToFit="0" wrapText="1"/>
    </xf>
    <xf borderId="0" fillId="27" fontId="1" numFmtId="0" xfId="0" applyAlignment="1" applyFont="1">
      <alignment horizontal="center" readingOrder="0" shrinkToFit="0" wrapText="1"/>
    </xf>
    <xf borderId="0" fillId="27" fontId="1" numFmtId="0" xfId="0" applyAlignment="1" applyFont="1">
      <alignment horizontal="center" shrinkToFit="0" wrapText="1"/>
    </xf>
    <xf borderId="0" fillId="0" fontId="5" numFmtId="0" xfId="0" applyAlignment="1" applyFont="1">
      <alignment horizontal="right" readingOrder="0" shrinkToFit="0" vertical="bottom" wrapText="1"/>
    </xf>
    <xf borderId="0" fillId="0" fontId="5" numFmtId="0" xfId="0" applyAlignment="1" applyFont="1">
      <alignment horizontal="right" shrinkToFit="0" vertical="bottom" wrapText="1"/>
    </xf>
    <xf borderId="0" fillId="27" fontId="5" numFmtId="0" xfId="0" applyAlignment="1" applyFont="1">
      <alignment horizontal="right" readingOrder="0" shrinkToFit="0" vertical="bottom" wrapText="1"/>
    </xf>
    <xf borderId="0" fillId="27" fontId="3" numFmtId="0" xfId="0" applyAlignment="1" applyFont="1">
      <alignment horizontal="right" readingOrder="0" shrinkToFit="0" vertical="bottom" wrapText="1"/>
    </xf>
    <xf borderId="0" fillId="27" fontId="5" numFmtId="0" xfId="0" applyAlignment="1" applyFont="1">
      <alignment horizontal="right" shrinkToFit="0" vertical="bottom" wrapText="1"/>
    </xf>
    <xf borderId="0" fillId="27" fontId="3" numFmtId="0" xfId="0" applyAlignment="1" applyFont="1">
      <alignment horizontal="right" shrinkToFit="0" vertical="bottom" wrapText="1"/>
    </xf>
    <xf borderId="0" fillId="0" fontId="5" numFmtId="0" xfId="0" applyAlignment="1" applyFont="1">
      <alignment horizontal="right" shrinkToFit="0" vertical="bottom" wrapText="1"/>
    </xf>
    <xf borderId="0" fillId="0" fontId="3" numFmtId="0" xfId="0" applyAlignment="1" applyFont="1">
      <alignment horizontal="right" shrinkToFit="0" vertical="bottom" wrapText="1"/>
    </xf>
    <xf borderId="0" fillId="0" fontId="16" numFmtId="0" xfId="0" applyAlignment="1" applyFont="1">
      <alignment horizontal="right" readingOrder="0" shrinkToFit="0" vertical="bottom" wrapText="1"/>
    </xf>
    <xf borderId="0" fillId="0" fontId="16" numFmtId="0" xfId="0" applyAlignment="1" applyFont="1">
      <alignment horizontal="right" shrinkToFit="0" vertical="bottom" wrapText="1"/>
    </xf>
    <xf borderId="0" fillId="0" fontId="3" numFmtId="164" xfId="0" applyAlignment="1" applyFont="1" applyNumberFormat="1">
      <alignment readingOrder="0" shrinkToFit="0" wrapText="1"/>
    </xf>
    <xf borderId="0" fillId="0" fontId="3" numFmtId="0" xfId="0" applyAlignment="1" applyFont="1">
      <alignment horizontal="right" readingOrder="0" shrinkToFit="0" vertical="bottom" wrapText="1"/>
    </xf>
    <xf borderId="0" fillId="0" fontId="3" numFmtId="0" xfId="0" applyAlignment="1" applyFont="1">
      <alignment horizontal="right" shrinkToFit="0" vertical="bottom" wrapText="1"/>
    </xf>
    <xf borderId="0" fillId="27" fontId="3" numFmtId="0" xfId="0" applyAlignment="1" applyFont="1">
      <alignment horizontal="right" shrinkToFit="0" vertical="bottom" wrapText="1"/>
    </xf>
    <xf borderId="0" fillId="27" fontId="1" numFmtId="0" xfId="0" applyAlignment="1" applyFont="1">
      <alignment horizontal="right" shrinkToFit="0" vertical="bottom" wrapText="1"/>
    </xf>
    <xf borderId="0" fillId="0" fontId="1" numFmtId="0" xfId="0" applyAlignment="1" applyFont="1">
      <alignment horizontal="right" shrinkToFit="0" vertical="bottom" wrapText="1"/>
    </xf>
    <xf borderId="1" fillId="0" fontId="3" numFmtId="0" xfId="0" applyAlignment="1" applyBorder="1" applyFont="1">
      <alignment shrinkToFit="0" wrapText="1"/>
    </xf>
    <xf borderId="2" fillId="0" fontId="3" numFmtId="0" xfId="0" applyAlignment="1" applyBorder="1" applyFont="1">
      <alignment shrinkToFit="0" wrapText="1"/>
    </xf>
    <xf borderId="0" fillId="0" fontId="4" numFmtId="0" xfId="0" applyAlignment="1" applyFont="1">
      <alignment readingOrder="0" shrinkToFit="0" wrapText="1"/>
    </xf>
    <xf borderId="0" fillId="0" fontId="8" numFmtId="0" xfId="0" applyAlignment="1" applyFont="1">
      <alignment shrinkToFit="0" wrapText="1"/>
    </xf>
    <xf borderId="0" fillId="10" fontId="1" numFmtId="0" xfId="0" applyAlignment="1" applyFont="1">
      <alignment horizontal="right" readingOrder="0" shrinkToFit="0" wrapText="1"/>
    </xf>
    <xf borderId="0" fillId="27" fontId="5" numFmtId="0" xfId="0" applyAlignment="1" applyFont="1">
      <alignment horizontal="right" readingOrder="0" shrinkToFit="0" wrapText="1"/>
    </xf>
    <xf borderId="0" fillId="0" fontId="1" numFmtId="0" xfId="0" applyAlignment="1" applyFont="1">
      <alignment horizontal="right" readingOrder="0" shrinkToFit="0" vertical="bottom" wrapText="1"/>
    </xf>
    <xf borderId="0" fillId="0" fontId="1" numFmtId="0" xfId="0" applyAlignment="1" applyFont="1">
      <alignment horizontal="right" shrinkToFit="0" vertical="bottom" wrapText="1"/>
    </xf>
    <xf borderId="0" fillId="27" fontId="16" numFmtId="0" xfId="0" applyAlignment="1" applyFont="1">
      <alignment horizontal="right" readingOrder="0" shrinkToFit="0" wrapText="1"/>
    </xf>
    <xf borderId="0" fillId="27" fontId="16" numFmtId="0" xfId="0" applyAlignment="1" applyFont="1">
      <alignment horizontal="right" shrinkToFit="0" wrapText="1"/>
    </xf>
    <xf borderId="2" fillId="16" fontId="1" numFmtId="0" xfId="0" applyAlignment="1" applyBorder="1" applyFont="1">
      <alignment horizontal="center" readingOrder="0" shrinkToFit="0" wrapText="1"/>
    </xf>
    <xf borderId="0" fillId="12" fontId="1" numFmtId="0" xfId="0" applyAlignment="1" applyFont="1">
      <alignment horizontal="center" readingOrder="0" shrinkToFit="0" wrapText="1"/>
    </xf>
    <xf borderId="0" fillId="14" fontId="3" numFmtId="0" xfId="0" applyAlignment="1" applyFont="1">
      <alignment readingOrder="0" shrinkToFit="0" wrapText="1"/>
    </xf>
    <xf borderId="0" fillId="15" fontId="3" numFmtId="0" xfId="0" applyAlignment="1" applyFont="1">
      <alignment readingOrder="0" shrinkToFit="0" wrapText="1"/>
    </xf>
    <xf borderId="0" fillId="8" fontId="1" numFmtId="0" xfId="0" applyAlignment="1" applyFont="1">
      <alignment horizontal="left" readingOrder="0" shrinkToFit="0" vertical="bottom" wrapText="1"/>
    </xf>
    <xf borderId="0" fillId="8" fontId="1" numFmtId="0" xfId="0" applyAlignment="1" applyFont="1">
      <alignment horizontal="left" shrinkToFit="0" vertical="bottom" wrapText="1"/>
    </xf>
    <xf borderId="0" fillId="0" fontId="1" numFmtId="0" xfId="0" applyAlignment="1" applyFont="1">
      <alignment horizontal="left" shrinkToFit="0" vertical="bottom" wrapText="1"/>
    </xf>
    <xf borderId="0" fillId="16" fontId="1" numFmtId="0" xfId="0" applyAlignment="1" applyFont="1">
      <alignment horizontal="center" shrinkToFit="0" vertical="bottom" wrapText="1"/>
    </xf>
    <xf borderId="0" fillId="0" fontId="3" numFmtId="9" xfId="0" applyAlignment="1" applyFont="1" applyNumberFormat="1">
      <alignment shrinkToFit="0" wrapText="1"/>
    </xf>
    <xf borderId="0" fillId="17" fontId="3" numFmtId="0" xfId="0" applyAlignment="1" applyFont="1">
      <alignment horizontal="center" readingOrder="0" shrinkToFit="0" vertical="bottom" wrapText="1"/>
    </xf>
    <xf borderId="0" fillId="9" fontId="3" numFmtId="0" xfId="0" applyAlignment="1" applyFont="1">
      <alignment horizontal="center" readingOrder="0" shrinkToFit="0" vertical="center" wrapText="1"/>
    </xf>
    <xf borderId="0" fillId="2" fontId="3" numFmtId="0" xfId="0" applyAlignment="1" applyFont="1">
      <alignment horizontal="center" readingOrder="0" shrinkToFit="0" vertical="bottom" wrapText="1"/>
    </xf>
    <xf borderId="0" fillId="31" fontId="5" numFmtId="0" xfId="0" applyAlignment="1" applyFill="1" applyFont="1">
      <alignment readingOrder="0" shrinkToFit="0" wrapText="1"/>
    </xf>
    <xf borderId="0" fillId="32" fontId="3" numFmtId="0" xfId="0" applyAlignment="1" applyFill="1" applyFont="1">
      <alignment readingOrder="0" shrinkToFit="0" wrapText="1"/>
    </xf>
    <xf borderId="0" fillId="33" fontId="3" numFmtId="0" xfId="0" applyAlignment="1" applyFill="1" applyFont="1">
      <alignment readingOrder="0" shrinkToFit="0" wrapText="1"/>
    </xf>
    <xf borderId="0" fillId="7" fontId="1" numFmtId="0" xfId="0" applyAlignment="1" applyFont="1">
      <alignment readingOrder="0" shrinkToFit="0" wrapText="1"/>
    </xf>
    <xf borderId="0" fillId="27" fontId="1" numFmtId="0" xfId="0" applyAlignment="1" applyFont="1">
      <alignment horizontal="center" shrinkToFit="0" vertical="bottom" wrapText="1"/>
    </xf>
    <xf borderId="0" fillId="7" fontId="4" numFmtId="0" xfId="0" applyAlignment="1" applyFont="1">
      <alignment readingOrder="0" shrinkToFit="0" wrapText="1"/>
    </xf>
    <xf borderId="0" fillId="12" fontId="3" numFmtId="0" xfId="0" applyAlignment="1" applyFont="1">
      <alignment readingOrder="0" shrinkToFit="0" wrapText="1"/>
    </xf>
    <xf borderId="0" fillId="27" fontId="3" numFmtId="0" xfId="0" applyAlignment="1" applyFont="1">
      <alignment readingOrder="0" shrinkToFit="0" wrapText="1"/>
    </xf>
    <xf borderId="0" fillId="0" fontId="17" numFmtId="0" xfId="0" applyAlignment="1" applyFont="1">
      <alignment readingOrder="0" shrinkToFit="0" wrapText="1"/>
    </xf>
    <xf borderId="0" fillId="27" fontId="3" numFmtId="0" xfId="0" applyAlignment="1" applyFont="1">
      <alignment shrinkToFit="0" wrapText="1"/>
    </xf>
    <xf borderId="0" fillId="0" fontId="3" numFmtId="165" xfId="0" applyAlignment="1" applyFont="1" applyNumberFormat="1">
      <alignment readingOrder="0" shrinkToFit="0" wrapText="1"/>
    </xf>
    <xf borderId="0" fillId="34" fontId="3" numFmtId="0" xfId="0" applyAlignment="1" applyFill="1" applyFont="1">
      <alignment readingOrder="0" shrinkToFit="0" wrapText="1"/>
    </xf>
    <xf borderId="0" fillId="12" fontId="3" numFmtId="0" xfId="0" applyAlignment="1" applyFont="1">
      <alignment shrinkToFit="0" wrapText="1"/>
    </xf>
    <xf borderId="0" fillId="12" fontId="1" numFmtId="0" xfId="0" applyAlignment="1" applyFont="1">
      <alignment readingOrder="0" shrinkToFit="0" vertical="bottom" wrapText="0"/>
    </xf>
    <xf borderId="0" fillId="12" fontId="1" numFmtId="0" xfId="0" applyAlignment="1" applyFont="1">
      <alignment shrinkToFit="0" wrapText="1"/>
    </xf>
    <xf borderId="0" fillId="12" fontId="3" numFmtId="0" xfId="0" applyAlignment="1" applyFont="1">
      <alignment shrinkToFit="0" wrapText="1"/>
    </xf>
    <xf borderId="0" fillId="12" fontId="1" numFmtId="0" xfId="0" applyAlignment="1" applyFont="1">
      <alignment shrinkToFit="0" wrapText="1"/>
    </xf>
    <xf borderId="0" fillId="12" fontId="5" numFmtId="0" xfId="0" applyAlignment="1" applyFont="1">
      <alignment shrinkToFit="0" wrapText="1"/>
    </xf>
    <xf borderId="0" fillId="0" fontId="1" numFmtId="4" xfId="0" applyAlignment="1" applyFont="1" applyNumberFormat="1">
      <alignment readingOrder="0" shrinkToFit="0" wrapText="1"/>
    </xf>
    <xf borderId="0" fillId="0" fontId="1" numFmtId="0" xfId="0" applyAlignment="1" applyFont="1">
      <alignment readingOrder="0" shrinkToFit="0" vertical="bottom" wrapText="0"/>
    </xf>
    <xf borderId="0" fillId="0" fontId="3" numFmtId="0" xfId="0" applyAlignment="1" applyFont="1">
      <alignment shrinkToFit="0" vertical="bottom" wrapText="0"/>
    </xf>
    <xf borderId="0" fillId="0" fontId="18" numFmtId="0" xfId="0" applyAlignment="1" applyFont="1">
      <alignment readingOrder="0" shrinkToFit="0" wrapText="1"/>
    </xf>
    <xf borderId="0" fillId="0" fontId="2" numFmtId="0" xfId="0" applyAlignment="1" applyFont="1">
      <alignment horizontal="center" shrinkToFit="0" vertical="bottom" wrapText="1"/>
    </xf>
    <xf borderId="0" fillId="12" fontId="3" numFmtId="0" xfId="0" applyAlignment="1" applyFont="1">
      <alignment horizontal="center" shrinkToFit="0" vertical="bottom" wrapText="1"/>
    </xf>
    <xf borderId="0" fillId="35" fontId="3" numFmtId="0" xfId="0" applyAlignment="1" applyFill="1" applyFont="1">
      <alignment horizontal="right" shrinkToFit="0" wrapText="1"/>
    </xf>
    <xf borderId="0" fillId="18" fontId="16" numFmtId="0" xfId="0" applyAlignment="1" applyFont="1">
      <alignment horizontal="center" readingOrder="0" shrinkToFit="0" wrapText="1"/>
    </xf>
    <xf borderId="0" fillId="18" fontId="3" numFmtId="0" xfId="0" applyAlignment="1" applyFont="1">
      <alignment readingOrder="0" shrinkToFit="0" vertical="bottom" wrapText="0"/>
    </xf>
    <xf borderId="0" fillId="0" fontId="19" numFmtId="0" xfId="0" applyAlignment="1" applyFont="1">
      <alignment readingOrder="0" shrinkToFit="0" wrapText="1"/>
    </xf>
    <xf borderId="0" fillId="0" fontId="19" numFmtId="0" xfId="0" applyAlignment="1" applyFont="1">
      <alignment shrinkToFit="0" wrapText="1"/>
    </xf>
    <xf borderId="0" fillId="18" fontId="16" numFmtId="0" xfId="0" applyAlignment="1" applyFont="1">
      <alignment readingOrder="0" shrinkToFit="0" wrapText="1"/>
    </xf>
    <xf borderId="0" fillId="18" fontId="5" numFmtId="0" xfId="0" applyAlignment="1" applyFont="1">
      <alignment readingOrder="0" shrinkToFit="0" wrapText="1"/>
    </xf>
    <xf borderId="0" fillId="18" fontId="3" numFmtId="0" xfId="0" applyAlignment="1" applyFont="1">
      <alignment shrinkToFit="0" wrapText="1"/>
    </xf>
    <xf borderId="0" fillId="27" fontId="5" numFmtId="0" xfId="0" applyAlignment="1" applyFont="1">
      <alignment readingOrder="0" shrinkToFit="0" wrapText="1"/>
    </xf>
    <xf borderId="0" fillId="27" fontId="5" numFmtId="0" xfId="0" applyAlignment="1" applyFont="1">
      <alignment shrinkToFit="0" wrapText="1"/>
    </xf>
    <xf borderId="0" fillId="27" fontId="5" numFmtId="0" xfId="0" applyAlignment="1" applyFont="1">
      <alignment shrinkToFit="0" wrapText="1"/>
    </xf>
    <xf borderId="0" fillId="0" fontId="5" numFmtId="0" xfId="0" applyAlignment="1" applyFont="1">
      <alignment shrinkToFit="0" wrapText="1"/>
    </xf>
    <xf borderId="0" fillId="0" fontId="20" numFmtId="0" xfId="0" applyAlignment="1" applyFont="1">
      <alignment readingOrder="0" shrinkToFit="0" wrapText="1"/>
    </xf>
    <xf borderId="0" fillId="26" fontId="20" numFmtId="0" xfId="0" applyAlignment="1" applyFont="1">
      <alignment readingOrder="0" shrinkToFit="0" wrapText="1"/>
    </xf>
    <xf borderId="0" fillId="26" fontId="21" numFmtId="0" xfId="0" applyAlignment="1" applyFont="1">
      <alignment shrinkToFit="0" wrapText="1"/>
    </xf>
    <xf borderId="0" fillId="0" fontId="20" numFmtId="0" xfId="0" applyAlignment="1" applyFont="1">
      <alignment shrinkToFit="0" wrapText="1"/>
    </xf>
    <xf borderId="0" fillId="2" fontId="3" numFmtId="0" xfId="0" applyAlignment="1" applyFont="1">
      <alignment shrinkToFit="0" wrapText="1"/>
    </xf>
    <xf borderId="0" fillId="36" fontId="3" numFmtId="0" xfId="0" applyAlignment="1" applyFill="1" applyFont="1">
      <alignment shrinkToFit="0" wrapText="1"/>
    </xf>
    <xf borderId="0" fillId="16" fontId="3" numFmtId="0" xfId="0" applyAlignment="1" applyFont="1">
      <alignment shrinkToFit="0" wrapText="1"/>
    </xf>
    <xf borderId="0" fillId="26" fontId="3" numFmtId="0" xfId="0" applyAlignment="1" applyFont="1">
      <alignment shrinkToFit="0" wrapText="1"/>
    </xf>
  </cellXfs>
  <cellStyles count="1">
    <cellStyle xfId="0" name="Normal" builtinId="0"/>
  </cellStyles>
  <dxfs count="7">
    <dxf>
      <font/>
      <fill>
        <patternFill patternType="solid">
          <fgColor rgb="FFFF0000"/>
          <bgColor rgb="FFFF0000"/>
        </patternFill>
      </fill>
      <border/>
    </dxf>
    <dxf>
      <font>
        <color rgb="FF000000"/>
      </font>
      <fill>
        <patternFill patternType="solid">
          <fgColor rgb="FFFF0000"/>
          <bgColor rgb="FFFF0000"/>
        </patternFill>
      </fill>
      <border/>
    </dxf>
    <dxf>
      <font/>
      <fill>
        <patternFill patternType="solid">
          <fgColor rgb="FFEA9999"/>
          <bgColor rgb="FFEA9999"/>
        </patternFill>
      </fill>
      <border/>
    </dxf>
    <dxf>
      <font/>
      <fill>
        <patternFill patternType="solid">
          <fgColor rgb="FF99CCFF"/>
          <bgColor rgb="FF99CCFF"/>
        </patternFill>
      </fill>
      <border/>
    </dxf>
    <dxf>
      <font>
        <color rgb="FFFF0000"/>
      </font>
      <fill>
        <patternFill patternType="none"/>
      </fill>
      <border/>
    </dxf>
    <dxf>
      <font>
        <color rgb="FF008000"/>
      </font>
      <fill>
        <patternFill patternType="none"/>
      </fill>
      <border/>
    </dxf>
    <dxf>
      <font/>
      <fill>
        <patternFill patternType="solid">
          <fgColor rgb="FFA2C4C9"/>
          <bgColor rgb="FFA2C4C9"/>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bar"/>
        <c:ser>
          <c:idx val="0"/>
          <c:order val="0"/>
          <c:spPr>
            <a:solidFill>
              <a:srgbClr val="666666"/>
            </a:solidFill>
            <a:ln cmpd="sng">
              <a:solidFill>
                <a:srgbClr val="000000"/>
              </a:solidFill>
            </a:ln>
          </c:spPr>
          <c:cat>
            <c:strRef>
              <c:f>'Charts-SLR'!$A$14:$A$27</c:f>
            </c:strRef>
          </c:cat>
          <c:val>
            <c:numRef>
              <c:f>'Charts-SLR'!$B$14:$B$27</c:f>
              <c:numCache/>
            </c:numRef>
          </c:val>
        </c:ser>
        <c:axId val="683100611"/>
        <c:axId val="218124577"/>
      </c:barChart>
      <c:catAx>
        <c:axId val="683100611"/>
        <c:scaling>
          <c:orientation val="maxMin"/>
        </c:scaling>
        <c:delete val="0"/>
        <c:axPos val="l"/>
        <c:title>
          <c:tx>
            <c:rich>
              <a:bodyPr/>
              <a:lstStyle/>
              <a:p>
                <a:pPr lvl="0">
                  <a:defRPr b="0" i="0" sz="1400">
                    <a:solidFill>
                      <a:srgbClr val="222222"/>
                    </a:solidFill>
                    <a:latin typeface="Roboto"/>
                  </a:defRPr>
                </a:pPr>
                <a:r>
                  <a:rPr b="0" i="0" sz="1400">
                    <a:solidFill>
                      <a:srgbClr val="222222"/>
                    </a:solidFill>
                    <a:latin typeface="Roboto"/>
                  </a:rPr>
                  <a:t>Year</a:t>
                </a:r>
              </a:p>
            </c:rich>
          </c:tx>
          <c:overlay val="0"/>
        </c:title>
        <c:numFmt formatCode="General" sourceLinked="1"/>
        <c:majorTickMark val="none"/>
        <c:minorTickMark val="none"/>
        <c:spPr/>
        <c:txPr>
          <a:bodyPr/>
          <a:lstStyle/>
          <a:p>
            <a:pPr lvl="0">
              <a:defRPr b="0">
                <a:solidFill>
                  <a:srgbClr val="000000"/>
                </a:solidFill>
                <a:latin typeface="Roboto"/>
              </a:defRPr>
            </a:pPr>
          </a:p>
        </c:txPr>
        <c:crossAx val="218124577"/>
      </c:catAx>
      <c:valAx>
        <c:axId val="218124577"/>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i="0" sz="1400">
                    <a:solidFill>
                      <a:srgbClr val="222222"/>
                    </a:solidFill>
                    <a:latin typeface="Roboto"/>
                  </a:defRPr>
                </a:pPr>
                <a:r>
                  <a:rPr b="0" i="0" sz="1400">
                    <a:solidFill>
                      <a:srgbClr val="222222"/>
                    </a:solidFill>
                    <a:latin typeface="Roboto"/>
                  </a:rPr>
                  <a:t>Number of papers</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683100611"/>
        <c:crosses val="max"/>
      </c:valAx>
    </c:plotArea>
    <c:plotVisOnly val="0"/>
  </c:chart>
  <c:spPr>
    <a:solidFill>
      <a:srgbClr val="FFFFFF"/>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Type of Paper - Contribution Facet</a:t>
            </a:r>
          </a:p>
        </c:rich>
      </c:tx>
      <c:overlay val="0"/>
    </c:title>
    <c:plotArea>
      <c:layout/>
      <c:barChart>
        <c:barDir val="bar"/>
        <c:ser>
          <c:idx val="0"/>
          <c:order val="0"/>
          <c:spPr>
            <a:solidFill>
              <a:srgbClr val="666666"/>
            </a:solidFill>
            <a:ln cmpd="sng">
              <a:solidFill>
                <a:srgbClr val="000000"/>
              </a:solidFill>
            </a:ln>
          </c:spPr>
          <c:cat>
            <c:strRef>
              <c:f>'Charts-SLR'!$A$64:$A$69</c:f>
            </c:strRef>
          </c:cat>
          <c:val>
            <c:numRef>
              <c:f>'Charts-SLR'!$B$64:$B$69</c:f>
              <c:numCache/>
            </c:numRef>
          </c:val>
        </c:ser>
        <c:axId val="2059511280"/>
        <c:axId val="1557560202"/>
      </c:barChart>
      <c:catAx>
        <c:axId val="2059511280"/>
        <c:scaling>
          <c:orientation val="maxMin"/>
        </c:scaling>
        <c:delete val="0"/>
        <c:axPos val="l"/>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1557560202"/>
      </c:catAx>
      <c:valAx>
        <c:axId val="1557560202"/>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i="0" sz="1200">
                    <a:solidFill>
                      <a:srgbClr val="222222"/>
                    </a:solidFill>
                    <a:latin typeface="Roboto"/>
                  </a:defRPr>
                </a:pPr>
                <a:r>
                  <a:rPr b="0" i="0" sz="1200">
                    <a:solidFill>
                      <a:srgbClr val="222222"/>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2059511280"/>
        <c:crosses val="max"/>
      </c:valAx>
    </c:plotArea>
    <c:plotVisOnly val="0"/>
  </c:chart>
  <c:spPr>
    <a:solidFill>
      <a:srgbClr val="FFFFFF"/>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Type of Paper - Research Facet</a:t>
            </a:r>
          </a:p>
        </c:rich>
      </c:tx>
      <c:overlay val="0"/>
    </c:title>
    <c:plotArea>
      <c:layout/>
      <c:barChart>
        <c:barDir val="bar"/>
        <c:ser>
          <c:idx val="0"/>
          <c:order val="0"/>
          <c:tx>
            <c:strRef>
              <c:f>'Charts-SLR'!$B$219</c:f>
            </c:strRef>
          </c:tx>
          <c:spPr>
            <a:solidFill>
              <a:srgbClr val="000000"/>
            </a:solidFill>
            <a:ln cmpd="sng">
              <a:solidFill>
                <a:srgbClr val="000000"/>
              </a:solidFill>
            </a:ln>
          </c:spPr>
          <c:cat>
            <c:strRef>
              <c:f>'Charts-SLR'!$A$220:$A$223</c:f>
            </c:strRef>
          </c:cat>
          <c:val>
            <c:numRef>
              <c:f>'Charts-SLR'!$B$220:$B$223</c:f>
              <c:numCache/>
            </c:numRef>
          </c:val>
        </c:ser>
        <c:ser>
          <c:idx val="1"/>
          <c:order val="1"/>
          <c:tx>
            <c:strRef>
              <c:f>'Charts-SLR'!$C$219</c:f>
            </c:strRef>
          </c:tx>
          <c:spPr>
            <a:solidFill>
              <a:srgbClr val="B7B7B7"/>
            </a:solidFill>
            <a:ln cmpd="sng">
              <a:solidFill>
                <a:srgbClr val="000000"/>
              </a:solidFill>
            </a:ln>
          </c:spPr>
          <c:cat>
            <c:strRef>
              <c:f>'Charts-SLR'!$A$220:$A$223</c:f>
            </c:strRef>
          </c:cat>
          <c:val>
            <c:numRef>
              <c:f>'Charts-SLR'!$C$220:$C$223</c:f>
              <c:numCache/>
            </c:numRef>
          </c:val>
        </c:ser>
        <c:axId val="1129534627"/>
        <c:axId val="374997969"/>
      </c:barChart>
      <c:catAx>
        <c:axId val="1129534627"/>
        <c:scaling>
          <c:orientation val="maxMin"/>
        </c:scaling>
        <c:delete val="0"/>
        <c:axPos val="l"/>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374997969"/>
      </c:catAx>
      <c:valAx>
        <c:axId val="374997969"/>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i="0" sz="1200">
                    <a:solidFill>
                      <a:srgbClr val="222222"/>
                    </a:solidFill>
                    <a:latin typeface="Roboto"/>
                  </a:defRPr>
                </a:pPr>
                <a:r>
                  <a:rPr b="0" i="0" sz="1200">
                    <a:solidFill>
                      <a:srgbClr val="222222"/>
                    </a:solidFill>
                    <a:latin typeface="Roboto"/>
                  </a:rPr>
                  <a:t>Number of papers</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129534627"/>
        <c:crosses val="max"/>
      </c:valAx>
    </c:plotArea>
    <c:legend>
      <c:legendPos val="b"/>
      <c:overlay val="0"/>
      <c:txPr>
        <a:bodyPr/>
        <a:lstStyle/>
        <a:p>
          <a:pPr lvl="0">
            <a:defRPr b="0">
              <a:solidFill>
                <a:srgbClr val="000000"/>
              </a:solidFill>
              <a:latin typeface="Roboto"/>
            </a:defRPr>
          </a:pPr>
        </a:p>
      </c:txPr>
    </c:legend>
    <c:plotVisOnly val="0"/>
  </c:chart>
  <c:spPr>
    <a:solidFill>
      <a:srgbClr val="FFFFFF"/>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Focus Area of Paper</a:t>
            </a:r>
          </a:p>
        </c:rich>
      </c:tx>
      <c:overlay val="0"/>
    </c:title>
    <c:plotArea>
      <c:layout/>
      <c:barChart>
        <c:barDir val="col"/>
        <c:ser>
          <c:idx val="0"/>
          <c:order val="0"/>
          <c:spPr>
            <a:solidFill>
              <a:srgbClr val="666666"/>
            </a:solidFill>
            <a:ln cmpd="sng">
              <a:solidFill>
                <a:srgbClr val="000000"/>
              </a:solidFill>
            </a:ln>
          </c:spPr>
          <c:cat>
            <c:strRef>
              <c:f>'Charts-SLR'!$A$309:$A$311</c:f>
            </c:strRef>
          </c:cat>
          <c:val>
            <c:numRef>
              <c:f>'Charts-SLR'!$B$309:$B$311</c:f>
              <c:numCache/>
            </c:numRef>
          </c:val>
        </c:ser>
        <c:axId val="139656834"/>
        <c:axId val="1739568122"/>
      </c:barChart>
      <c:catAx>
        <c:axId val="139656834"/>
        <c:scaling>
          <c:orientation val="minMax"/>
        </c:scaling>
        <c:delete val="0"/>
        <c:axPos val="b"/>
        <c:title>
          <c:tx>
            <c:rich>
              <a:bodyPr/>
              <a:lstStyle/>
              <a:p>
                <a:pPr lvl="0">
                  <a:defRPr b="0" i="0" sz="1200">
                    <a:solidFill>
                      <a:srgbClr val="222222"/>
                    </a:solidFill>
                    <a:latin typeface="Roboto"/>
                  </a:defRPr>
                </a:pPr>
                <a:r>
                  <a:rPr b="0" i="0" sz="1200">
                    <a:solidFill>
                      <a:srgbClr val="222222"/>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1739568122"/>
      </c:catAx>
      <c:valAx>
        <c:axId val="173956812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i="0" sz="1200">
                    <a:solidFill>
                      <a:srgbClr val="222222"/>
                    </a:solidFill>
                    <a:latin typeface="Roboto"/>
                  </a:defRPr>
                </a:pPr>
                <a:r>
                  <a:rPr b="0" i="0" sz="1200">
                    <a:solidFill>
                      <a:srgbClr val="222222"/>
                    </a:solidFill>
                    <a:latin typeface="Roboto"/>
                  </a:rPr>
                  <a:t>Number of papers</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39656834"/>
      </c:valAx>
    </c:plotArea>
    <c:plotVisOnly val="0"/>
  </c:chart>
  <c:spPr>
    <a:solidFill>
      <a:srgbClr val="FFFFFF"/>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bar"/>
        <c:ser>
          <c:idx val="0"/>
          <c:order val="0"/>
          <c:spPr>
            <a:solidFill>
              <a:srgbClr val="666666"/>
            </a:solidFill>
            <a:ln cmpd="sng">
              <a:solidFill>
                <a:srgbClr val="000000"/>
              </a:solidFill>
            </a:ln>
          </c:spPr>
          <c:cat>
            <c:strRef>
              <c:f>'Charts-SLR'!$A$331:$A$336</c:f>
            </c:strRef>
          </c:cat>
          <c:val>
            <c:numRef>
              <c:f>'Charts-SLR'!$B$331:$B$336</c:f>
              <c:numCache/>
            </c:numRef>
          </c:val>
        </c:ser>
        <c:axId val="461599816"/>
        <c:axId val="1442681144"/>
      </c:barChart>
      <c:catAx>
        <c:axId val="461599816"/>
        <c:scaling>
          <c:orientation val="maxMin"/>
        </c:scaling>
        <c:delete val="0"/>
        <c:axPos val="l"/>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1442681144"/>
      </c:catAx>
      <c:valAx>
        <c:axId val="1442681144"/>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i="0" sz="1400">
                    <a:solidFill>
                      <a:srgbClr val="222222"/>
                    </a:solidFill>
                    <a:latin typeface="Roboto"/>
                  </a:defRPr>
                </a:pPr>
                <a:r>
                  <a:rPr b="0" i="0" sz="1400">
                    <a:solidFill>
                      <a:srgbClr val="222222"/>
                    </a:solidFill>
                    <a:latin typeface="Roboto"/>
                  </a:rPr>
                  <a:t>Number of papers</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461599816"/>
        <c:crosses val="max"/>
      </c:valAx>
    </c:plotArea>
    <c:plotVisOnly val="0"/>
  </c:chart>
  <c:spPr>
    <a:solidFill>
      <a:srgbClr val="FFFFFF"/>
    </a:solidFill>
  </c:spPr>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Test Location</a:t>
            </a:r>
          </a:p>
        </c:rich>
      </c:tx>
      <c:overlay val="0"/>
    </c:title>
    <c:plotArea>
      <c:layout/>
      <c:barChart>
        <c:barDir val="col"/>
        <c:ser>
          <c:idx val="0"/>
          <c:order val="0"/>
          <c:spPr>
            <a:solidFill>
              <a:srgbClr val="666666"/>
            </a:solidFill>
            <a:ln cmpd="sng">
              <a:solidFill>
                <a:srgbClr val="000000"/>
              </a:solidFill>
            </a:ln>
          </c:spPr>
          <c:cat>
            <c:strRef>
              <c:f>'Charts-SLR'!$A$389:$A$391</c:f>
            </c:strRef>
          </c:cat>
          <c:val>
            <c:numRef>
              <c:f>'Charts-SLR'!$B$389:$B$391</c:f>
              <c:numCache/>
            </c:numRef>
          </c:val>
        </c:ser>
        <c:axId val="734637723"/>
        <c:axId val="768860904"/>
      </c:barChart>
      <c:catAx>
        <c:axId val="734637723"/>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768860904"/>
      </c:catAx>
      <c:valAx>
        <c:axId val="768860904"/>
        <c:scaling>
          <c:orientation val="minMax"/>
          <c:max val="55.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i="0" sz="1200">
                    <a:solidFill>
                      <a:srgbClr val="222222"/>
                    </a:solidFill>
                    <a:latin typeface="Roboto"/>
                  </a:defRPr>
                </a:pPr>
                <a:r>
                  <a:rPr b="0" i="0" sz="1200">
                    <a:solidFill>
                      <a:srgbClr val="222222"/>
                    </a:solidFill>
                    <a:latin typeface="Roboto"/>
                  </a:rPr>
                  <a:t>Number of papers</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734637723"/>
      </c:valAx>
    </c:plotArea>
    <c:plotVisOnly val="0"/>
  </c:chart>
  <c:spPr>
    <a:solidFill>
      <a:srgbClr val="FFFFFF"/>
    </a:solidFill>
  </c:spPr>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Test Level</a:t>
            </a:r>
          </a:p>
        </c:rich>
      </c:tx>
      <c:overlay val="0"/>
    </c:title>
    <c:plotArea>
      <c:layout/>
      <c:barChart>
        <c:barDir val="col"/>
        <c:ser>
          <c:idx val="0"/>
          <c:order val="0"/>
          <c:spPr>
            <a:solidFill>
              <a:srgbClr val="666666"/>
            </a:solidFill>
            <a:ln cmpd="sng">
              <a:solidFill>
                <a:srgbClr val="000000"/>
              </a:solidFill>
            </a:ln>
          </c:spPr>
          <c:cat>
            <c:strRef>
              <c:f>'Charts-SLR'!$A$439:$A$441</c:f>
            </c:strRef>
          </c:cat>
          <c:val>
            <c:numRef>
              <c:f>'Charts-SLR'!$B$439:$B$441</c:f>
              <c:numCache/>
            </c:numRef>
          </c:val>
        </c:ser>
        <c:axId val="1746791121"/>
        <c:axId val="2099508697"/>
      </c:barChart>
      <c:catAx>
        <c:axId val="1746791121"/>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2099508697"/>
      </c:catAx>
      <c:valAx>
        <c:axId val="2099508697"/>
        <c:scaling>
          <c:orientation val="minMax"/>
          <c:max val="45.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i="0" sz="1200">
                    <a:solidFill>
                      <a:srgbClr val="222222"/>
                    </a:solidFill>
                    <a:latin typeface="Roboto"/>
                  </a:defRPr>
                </a:pPr>
                <a:r>
                  <a:rPr b="0" i="0" sz="1200">
                    <a:solidFill>
                      <a:srgbClr val="222222"/>
                    </a:solidFill>
                    <a:latin typeface="Roboto"/>
                  </a:rPr>
                  <a:t>Number of papers</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746791121"/>
      </c:valAx>
    </c:plotArea>
    <c:plotVisOnly val="0"/>
  </c:chart>
  <c:spPr>
    <a:solidFill>
      <a:srgbClr val="FFFFFF"/>
    </a:solidFill>
  </c:spPr>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Source of information to derive Test artifacts (e.g., test cases)</a:t>
            </a:r>
          </a:p>
        </c:rich>
      </c:tx>
      <c:overlay val="0"/>
    </c:title>
    <c:plotArea>
      <c:layout/>
      <c:barChart>
        <c:barDir val="bar"/>
        <c:ser>
          <c:idx val="0"/>
          <c:order val="0"/>
          <c:spPr>
            <a:solidFill>
              <a:srgbClr val="666666"/>
            </a:solidFill>
            <a:ln cmpd="sng">
              <a:solidFill>
                <a:srgbClr val="000000"/>
              </a:solidFill>
            </a:ln>
          </c:spPr>
          <c:cat>
            <c:strRef>
              <c:f>'Charts-SLR'!$A$463:$A$470</c:f>
            </c:strRef>
          </c:cat>
          <c:val>
            <c:numRef>
              <c:f>'Charts-SLR'!$B$463:$B$470</c:f>
              <c:numCache/>
            </c:numRef>
          </c:val>
        </c:ser>
        <c:axId val="462625789"/>
        <c:axId val="2077854598"/>
      </c:barChart>
      <c:catAx>
        <c:axId val="462625789"/>
        <c:scaling>
          <c:orientation val="maxMin"/>
        </c:scaling>
        <c:delete val="0"/>
        <c:axPos val="l"/>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2077854598"/>
      </c:catAx>
      <c:valAx>
        <c:axId val="2077854598"/>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i="0" sz="1200">
                    <a:solidFill>
                      <a:srgbClr val="222222"/>
                    </a:solidFill>
                    <a:latin typeface="Roboto"/>
                  </a:defRPr>
                </a:pPr>
                <a:r>
                  <a:rPr b="0" i="0" sz="1200">
                    <a:solidFill>
                      <a:srgbClr val="222222"/>
                    </a:solidFill>
                    <a:latin typeface="Roboto"/>
                  </a:rPr>
                  <a:t>Number of papers</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462625789"/>
        <c:crosses val="max"/>
      </c:valAx>
    </c:plotArea>
    <c:plotVisOnly val="0"/>
  </c:chart>
  <c:spPr>
    <a:solidFill>
      <a:srgbClr val="FFFFFF"/>
    </a:solidFill>
  </c:spPr>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Type of test artifact generated</a:t>
            </a:r>
          </a:p>
        </c:rich>
      </c:tx>
      <c:overlay val="0"/>
    </c:title>
    <c:plotArea>
      <c:layout/>
      <c:barChart>
        <c:barDir val="bar"/>
        <c:ser>
          <c:idx val="0"/>
          <c:order val="0"/>
          <c:spPr>
            <a:solidFill>
              <a:srgbClr val="666666"/>
            </a:solidFill>
            <a:ln cmpd="sng">
              <a:solidFill>
                <a:srgbClr val="000000"/>
              </a:solidFill>
            </a:ln>
          </c:spPr>
          <c:cat>
            <c:strRef>
              <c:f>'Charts-SLR'!$A$614:$A$618</c:f>
            </c:strRef>
          </c:cat>
          <c:val>
            <c:numRef>
              <c:f>'Charts-SLR'!$B$614:$B$618</c:f>
              <c:numCache/>
            </c:numRef>
          </c:val>
        </c:ser>
        <c:axId val="986526390"/>
        <c:axId val="1444809279"/>
      </c:barChart>
      <c:catAx>
        <c:axId val="986526390"/>
        <c:scaling>
          <c:orientation val="maxMin"/>
        </c:scaling>
        <c:delete val="0"/>
        <c:axPos val="l"/>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1444809279"/>
      </c:catAx>
      <c:valAx>
        <c:axId val="1444809279"/>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i="0" sz="1200">
                    <a:solidFill>
                      <a:srgbClr val="222222"/>
                    </a:solidFill>
                    <a:latin typeface="Roboto"/>
                  </a:defRPr>
                </a:pPr>
                <a:r>
                  <a:rPr b="0" i="0" sz="1200">
                    <a:solidFill>
                      <a:srgbClr val="222222"/>
                    </a:solidFill>
                    <a:latin typeface="Roboto"/>
                  </a:rPr>
                  <a:t>Number of papers</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986526390"/>
        <c:crosses val="max"/>
      </c:valAx>
    </c:plotArea>
    <c:plotVisOnly val="0"/>
  </c:chart>
  <c:spPr>
    <a:solidFill>
      <a:srgbClr val="FFFFFF"/>
    </a:solidFill>
  </c:spPr>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Type of the Evaluation Method</a:t>
            </a:r>
          </a:p>
        </c:rich>
      </c:tx>
      <c:overlay val="0"/>
    </c:title>
    <c:plotArea>
      <c:layout/>
      <c:barChart>
        <c:barDir val="bar"/>
        <c:ser>
          <c:idx val="0"/>
          <c:order val="0"/>
          <c:spPr>
            <a:solidFill>
              <a:srgbClr val="666666"/>
            </a:solidFill>
            <a:ln cmpd="sng">
              <a:solidFill>
                <a:srgbClr val="000000"/>
              </a:solidFill>
            </a:ln>
          </c:spPr>
          <c:cat>
            <c:strRef>
              <c:f>'Charts-SLR'!$A$653:$A$659</c:f>
            </c:strRef>
          </c:cat>
          <c:val>
            <c:numRef>
              <c:f>'Charts-SLR'!$B$653:$B$659</c:f>
              <c:numCache/>
            </c:numRef>
          </c:val>
        </c:ser>
        <c:axId val="1011088495"/>
        <c:axId val="444503593"/>
      </c:barChart>
      <c:catAx>
        <c:axId val="1011088495"/>
        <c:scaling>
          <c:orientation val="maxMin"/>
        </c:scaling>
        <c:delete val="0"/>
        <c:axPos val="l"/>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444503593"/>
      </c:catAx>
      <c:valAx>
        <c:axId val="444503593"/>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i="0" sz="1200">
                    <a:solidFill>
                      <a:srgbClr val="222222"/>
                    </a:solidFill>
                    <a:latin typeface="Roboto"/>
                  </a:defRPr>
                </a:pPr>
                <a:r>
                  <a:rPr b="0" i="0" sz="1200">
                    <a:solidFill>
                      <a:srgbClr val="222222"/>
                    </a:solidFill>
                    <a:latin typeface="Roboto"/>
                  </a:rPr>
                  <a:t>Number of papers</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011088495"/>
        <c:crosses val="max"/>
      </c:valAx>
    </c:plotArea>
    <c:plotVisOnly val="0"/>
  </c:chart>
  <c:spPr>
    <a:solidFill>
      <a:srgbClr val="FFFFFF"/>
    </a:solidFill>
  </c:spPr>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Client-tier Web Technology</a:t>
            </a:r>
          </a:p>
        </c:rich>
      </c:tx>
      <c:overlay val="0"/>
    </c:title>
    <c:plotArea>
      <c:layout/>
      <c:barChart>
        <c:barDir val="bar"/>
        <c:ser>
          <c:idx val="0"/>
          <c:order val="0"/>
          <c:spPr>
            <a:solidFill>
              <a:srgbClr val="666666"/>
            </a:solidFill>
            <a:ln cmpd="sng">
              <a:solidFill>
                <a:srgbClr val="000000"/>
              </a:solidFill>
            </a:ln>
          </c:spPr>
          <c:cat>
            <c:strRef>
              <c:f>'Charts-SLR'!$A$728:$A$733</c:f>
            </c:strRef>
          </c:cat>
          <c:val>
            <c:numRef>
              <c:f>'Charts-SLR'!$B$728:$B$733</c:f>
              <c:numCache/>
            </c:numRef>
          </c:val>
        </c:ser>
        <c:axId val="930542434"/>
        <c:axId val="1640539960"/>
      </c:barChart>
      <c:catAx>
        <c:axId val="930542434"/>
        <c:scaling>
          <c:orientation val="maxMin"/>
        </c:scaling>
        <c:delete val="0"/>
        <c:axPos val="l"/>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1640539960"/>
      </c:catAx>
      <c:valAx>
        <c:axId val="1640539960"/>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i="0" sz="1200">
                    <a:solidFill>
                      <a:srgbClr val="222222"/>
                    </a:solidFill>
                    <a:latin typeface="Roboto"/>
                  </a:defRPr>
                </a:pPr>
                <a:r>
                  <a:rPr b="0" i="0" sz="1200">
                    <a:solidFill>
                      <a:srgbClr val="222222"/>
                    </a:solidFill>
                    <a:latin typeface="Roboto"/>
                  </a:rPr>
                  <a:t>Number of papers</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930542434"/>
        <c:crosses val="max"/>
      </c:valAx>
    </c:plotArea>
    <c:plotVisOnly val="0"/>
  </c:chart>
  <c:spPr>
    <a:solidFill>
      <a:srgbClr val="FFFFFF"/>
    </a:solidFill>
  </c:spPr>
</c:chartSpace>
</file>

<file path=xl/charts/chart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Web-server-tier Web Technology</a:t>
            </a:r>
          </a:p>
        </c:rich>
      </c:tx>
      <c:overlay val="0"/>
    </c:title>
    <c:plotArea>
      <c:layout/>
      <c:barChart>
        <c:barDir val="bar"/>
        <c:ser>
          <c:idx val="0"/>
          <c:order val="0"/>
          <c:spPr>
            <a:solidFill>
              <a:srgbClr val="666666"/>
            </a:solidFill>
            <a:ln cmpd="sng">
              <a:solidFill>
                <a:srgbClr val="000000"/>
              </a:solidFill>
            </a:ln>
          </c:spPr>
          <c:cat>
            <c:strRef>
              <c:f>'Charts-SLR'!$A$760:$A$766</c:f>
            </c:strRef>
          </c:cat>
          <c:val>
            <c:numRef>
              <c:f>'Charts-SLR'!$B$760:$B$766</c:f>
              <c:numCache/>
            </c:numRef>
          </c:val>
        </c:ser>
        <c:axId val="611067707"/>
        <c:axId val="2095479308"/>
      </c:barChart>
      <c:catAx>
        <c:axId val="611067707"/>
        <c:scaling>
          <c:orientation val="maxMin"/>
        </c:scaling>
        <c:delete val="0"/>
        <c:axPos val="l"/>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2095479308"/>
      </c:catAx>
      <c:valAx>
        <c:axId val="2095479308"/>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i="0" sz="1200">
                    <a:solidFill>
                      <a:srgbClr val="222222"/>
                    </a:solidFill>
                    <a:latin typeface="Roboto"/>
                  </a:defRPr>
                </a:pPr>
                <a:r>
                  <a:rPr b="0" i="0" sz="1200">
                    <a:solidFill>
                      <a:srgbClr val="222222"/>
                    </a:solidFill>
                    <a:latin typeface="Roboto"/>
                  </a:rPr>
                  <a:t>Number of papers</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611067707"/>
        <c:crosses val="max"/>
      </c:valAx>
    </c:plotArea>
    <c:plotVisOnly val="0"/>
  </c:chart>
  <c:spPr>
    <a:solidFill>
      <a:srgbClr val="FFFFFF"/>
    </a:solidFill>
  </c:spPr>
</c:chartSpace>
</file>

<file path=xl/charts/chart1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Types of web software SUTs</a:t>
            </a:r>
          </a:p>
        </c:rich>
      </c:tx>
      <c:overlay val="0"/>
    </c:title>
    <c:plotArea>
      <c:layout>
        <c:manualLayout>
          <c:xMode val="edge"/>
          <c:yMode val="edge"/>
          <c:x val="0.34923000000000004"/>
          <c:y val="0.19171"/>
          <c:w val="0.46462000000000003"/>
          <c:h val="0.61917"/>
        </c:manualLayout>
      </c:layout>
      <c:barChart>
        <c:barDir val="bar"/>
        <c:ser>
          <c:idx val="0"/>
          <c:order val="0"/>
          <c:spPr>
            <a:solidFill>
              <a:srgbClr val="666666"/>
            </a:solidFill>
            <a:ln cmpd="sng">
              <a:solidFill>
                <a:srgbClr val="000000"/>
              </a:solidFill>
            </a:ln>
          </c:spPr>
          <c:cat>
            <c:strRef>
              <c:f>'Charts-SLR'!$A$825:$A$827</c:f>
            </c:strRef>
          </c:cat>
          <c:val>
            <c:numRef>
              <c:f>'Charts-SLR'!$B$825:$B$827</c:f>
              <c:numCache/>
            </c:numRef>
          </c:val>
        </c:ser>
        <c:axId val="1738910760"/>
        <c:axId val="1528833334"/>
      </c:barChart>
      <c:catAx>
        <c:axId val="1738910760"/>
        <c:scaling>
          <c:orientation val="maxMin"/>
        </c:scaling>
        <c:delete val="0"/>
        <c:axPos val="l"/>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1528833334"/>
      </c:catAx>
      <c:valAx>
        <c:axId val="1528833334"/>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i="0" sz="1200">
                    <a:solidFill>
                      <a:srgbClr val="222222"/>
                    </a:solidFill>
                    <a:latin typeface="Roboto"/>
                  </a:defRPr>
                </a:pPr>
                <a:r>
                  <a:rPr b="0" i="0" sz="1200">
                    <a:solidFill>
                      <a:srgbClr val="222222"/>
                    </a:solidFill>
                    <a:latin typeface="Roboto"/>
                  </a:rPr>
                  <a:t>Number of papers</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738910760"/>
        <c:crosses val="max"/>
      </c:valAx>
    </c:plotArea>
    <c:plotVisOnly val="0"/>
  </c:chart>
  <c:spPr>
    <a:solidFill>
      <a:srgbClr val="FFFFFF"/>
    </a:solidFill>
  </c:spPr>
</c:chartSpace>
</file>

<file path=xl/charts/chart1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Citation count versus Year of Publication</a:t>
            </a:r>
          </a:p>
        </c:rich>
      </c:tx>
      <c:overlay val="0"/>
    </c:title>
    <c:plotArea>
      <c:layout/>
      <c:scatterChart>
        <c:scatterStyle val="lineMarker"/>
        <c:varyColors val="0"/>
        <c:ser>
          <c:idx val="0"/>
          <c:order val="0"/>
          <c:spPr>
            <a:ln>
              <a:noFill/>
            </a:ln>
          </c:spPr>
          <c:marker>
            <c:symbol val="circle"/>
            <c:size val="7"/>
            <c:spPr>
              <a:solidFill>
                <a:srgbClr val="3366CC"/>
              </a:solidFill>
              <a:ln cmpd="sng">
                <a:solidFill>
                  <a:srgbClr val="3366CC"/>
                </a:solidFill>
              </a:ln>
            </c:spPr>
          </c:marker>
          <c:xVal>
            <c:numRef>
              <c:f>'SM Repository'!$AF$3:$AF$81</c:f>
            </c:numRef>
          </c:xVal>
          <c:yVal>
            <c:numRef>
              <c:f>'SM Repository'!$AH$3:$AH$81</c:f>
              <c:numCache/>
            </c:numRef>
          </c:yVal>
        </c:ser>
        <c:dLbls>
          <c:showLegendKey val="0"/>
          <c:showVal val="0"/>
          <c:showCatName val="0"/>
          <c:showSerName val="0"/>
          <c:showPercent val="0"/>
          <c:showBubbleSize val="0"/>
        </c:dLbls>
        <c:axId val="1336558114"/>
        <c:axId val="1425051884"/>
      </c:scatterChart>
      <c:valAx>
        <c:axId val="1336558114"/>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i="0" sz="1200">
                    <a:solidFill>
                      <a:srgbClr val="222222"/>
                    </a:solidFill>
                    <a:latin typeface="Roboto"/>
                  </a:defRPr>
                </a:pPr>
                <a:r>
                  <a:rPr b="0" i="0" sz="1200">
                    <a:solidFill>
                      <a:srgbClr val="222222"/>
                    </a:solidFill>
                    <a:latin typeface="Roboto"/>
                  </a:rPr>
                  <a:t>Publication year</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425051884"/>
      </c:valAx>
      <c:valAx>
        <c:axId val="142505188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i="0" sz="1200">
                    <a:solidFill>
                      <a:srgbClr val="222222"/>
                    </a:solidFill>
                    <a:latin typeface="Roboto"/>
                  </a:defRPr>
                </a:pPr>
                <a:r>
                  <a:rPr b="0" i="0" sz="1200">
                    <a:solidFill>
                      <a:srgbClr val="222222"/>
                    </a:solidFill>
                    <a:latin typeface="Roboto"/>
                  </a:rPr>
                  <a:t>Citation count</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336558114"/>
      </c:valAx>
    </c:plotArea>
    <c:plotVisOnly val="0"/>
  </c:chart>
</c:chartSpace>
</file>

<file path=xl/charts/chart1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bar"/>
        <c:ser>
          <c:idx val="0"/>
          <c:order val="0"/>
          <c:spPr>
            <a:solidFill>
              <a:srgbClr val="666666"/>
            </a:solidFill>
            <a:ln cmpd="sng">
              <a:solidFill>
                <a:srgbClr val="000000"/>
              </a:solidFill>
            </a:ln>
          </c:spPr>
          <c:cat>
            <c:strRef>
              <c:f>'Charts-SLR'!$A$491:$A$501</c:f>
            </c:strRef>
          </c:cat>
          <c:val>
            <c:numRef>
              <c:f>'Charts-SLR'!$B$491:$B$501</c:f>
              <c:numCache/>
            </c:numRef>
          </c:val>
        </c:ser>
        <c:axId val="1680656255"/>
        <c:axId val="599949519"/>
      </c:barChart>
      <c:catAx>
        <c:axId val="1680656255"/>
        <c:scaling>
          <c:orientation val="maxMin"/>
        </c:scaling>
        <c:delete val="0"/>
        <c:axPos val="l"/>
        <c:title>
          <c:tx>
            <c:rich>
              <a:bodyPr/>
              <a:lstStyle/>
              <a:p>
                <a:pPr lvl="0">
                  <a:defRPr b="0" i="1" sz="1400">
                    <a:solidFill>
                      <a:srgbClr val="222222"/>
                    </a:solidFill>
                    <a:latin typeface="Roboto"/>
                  </a:defRPr>
                </a:pPr>
                <a:r>
                  <a:rPr b="0" i="1" sz="1400">
                    <a:solidFill>
                      <a:srgbClr val="222222"/>
                    </a:solidFill>
                    <a:latin typeface="Roboto"/>
                  </a:rPr>
                  <a:t/>
                </a:r>
              </a:p>
            </c:rich>
          </c:tx>
          <c:overlay val="0"/>
        </c:title>
        <c:numFmt formatCode="General" sourceLinked="1"/>
        <c:majorTickMark val="none"/>
        <c:minorTickMark val="none"/>
        <c:spPr/>
        <c:txPr>
          <a:bodyPr/>
          <a:lstStyle/>
          <a:p>
            <a:pPr lvl="0">
              <a:defRPr b="0" sz="1600">
                <a:solidFill>
                  <a:srgbClr val="222222"/>
                </a:solidFill>
                <a:latin typeface="Roboto"/>
              </a:defRPr>
            </a:pPr>
          </a:p>
        </c:txPr>
        <c:crossAx val="599949519"/>
      </c:catAx>
      <c:valAx>
        <c:axId val="599949519"/>
        <c:scaling>
          <c:orientation val="minMax"/>
          <c:max val="25.0"/>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i="0" sz="1400">
                    <a:solidFill>
                      <a:srgbClr val="222222"/>
                    </a:solidFill>
                    <a:latin typeface="Roboto"/>
                  </a:defRPr>
                </a:pPr>
                <a:r>
                  <a:rPr b="0" i="0" sz="1400">
                    <a:solidFill>
                      <a:srgbClr val="222222"/>
                    </a:solidFill>
                    <a:latin typeface="Roboto"/>
                  </a:rPr>
                  <a:t>Number of papers</a:t>
                </a:r>
              </a:p>
            </c:rich>
          </c:tx>
          <c:overlay val="0"/>
        </c:title>
        <c:numFmt formatCode="General" sourceLinked="1"/>
        <c:majorTickMark val="none"/>
        <c:minorTickMark val="none"/>
        <c:tickLblPos val="nextTo"/>
        <c:spPr>
          <a:ln/>
        </c:spPr>
        <c:txPr>
          <a:bodyPr/>
          <a:lstStyle/>
          <a:p>
            <a:pPr lvl="0">
              <a:defRPr b="0" sz="1400">
                <a:solidFill>
                  <a:srgbClr val="222222"/>
                </a:solidFill>
                <a:latin typeface="Roboto"/>
              </a:defRPr>
            </a:pPr>
          </a:p>
        </c:txPr>
        <c:crossAx val="1680656255"/>
        <c:crosses val="max"/>
      </c:valAx>
    </c:plotArea>
    <c:plotVisOnly val="0"/>
  </c:chart>
</c:chartSpace>
</file>

<file path=xl/charts/chart1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SUT size versus year of publication</a:t>
            </a:r>
          </a:p>
        </c:rich>
      </c:tx>
      <c:overlay val="0"/>
    </c:title>
    <c:plotArea>
      <c:layout/>
      <c:scatterChart>
        <c:scatterStyle val="lineMarker"/>
        <c:varyColors val="0"/>
        <c:ser>
          <c:idx val="0"/>
          <c:order val="0"/>
          <c:spPr>
            <a:ln>
              <a:noFill/>
            </a:ln>
          </c:spPr>
          <c:marker>
            <c:symbol val="circle"/>
            <c:size val="7"/>
            <c:spPr>
              <a:solidFill>
                <a:srgbClr val="3366CC"/>
              </a:solidFill>
              <a:ln cmpd="sng">
                <a:solidFill>
                  <a:srgbClr val="3366CC"/>
                </a:solidFill>
              </a:ln>
            </c:spPr>
          </c:marker>
          <c:xVal>
            <c:numRef>
              <c:f>'SM Repository'!$AF$3:$AF$81</c:f>
            </c:numRef>
          </c:xVal>
          <c:yVal>
            <c:numRef>
              <c:f>'SM Repository'!$EF$3:$EF$81</c:f>
              <c:numCache/>
            </c:numRef>
          </c:yVal>
        </c:ser>
        <c:dLbls>
          <c:showLegendKey val="0"/>
          <c:showVal val="0"/>
          <c:showCatName val="0"/>
          <c:showSerName val="0"/>
          <c:showPercent val="0"/>
          <c:showBubbleSize val="0"/>
        </c:dLbls>
        <c:axId val="1756199945"/>
        <c:axId val="1814749973"/>
      </c:scatterChart>
      <c:valAx>
        <c:axId val="1756199945"/>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i="0" sz="1200">
                    <a:solidFill>
                      <a:srgbClr val="222222"/>
                    </a:solidFill>
                    <a:latin typeface="Roboto"/>
                  </a:defRPr>
                </a:pPr>
                <a:r>
                  <a:rPr b="0" i="0" sz="1200">
                    <a:solidFill>
                      <a:srgbClr val="222222"/>
                    </a:solidFill>
                    <a:latin typeface="Roboto"/>
                  </a:rPr>
                  <a:t>Year of publication</a:t>
                </a:r>
              </a:p>
            </c:rich>
          </c:tx>
          <c:overlay val="0"/>
        </c:title>
        <c:numFmt formatCode="General" sourceLinked="0"/>
        <c:majorTickMark val="none"/>
        <c:minorTickMark val="none"/>
        <c:tickLblPos val="nextTo"/>
        <c:spPr>
          <a:ln/>
        </c:spPr>
        <c:txPr>
          <a:bodyPr/>
          <a:lstStyle/>
          <a:p>
            <a:pPr lvl="0">
              <a:defRPr b="0">
                <a:solidFill>
                  <a:srgbClr val="000000"/>
                </a:solidFill>
                <a:latin typeface="Roboto"/>
              </a:defRPr>
            </a:pPr>
          </a:p>
        </c:txPr>
        <c:crossAx val="1814749973"/>
      </c:valAx>
      <c:valAx>
        <c:axId val="181474997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i="0" sz="1200">
                    <a:solidFill>
                      <a:srgbClr val="222222"/>
                    </a:solidFill>
                    <a:latin typeface="Roboto"/>
                  </a:defRPr>
                </a:pPr>
                <a:r>
                  <a:rPr b="0" i="0" sz="1200">
                    <a:solidFill>
                      <a:srgbClr val="222222"/>
                    </a:solidFill>
                    <a:latin typeface="Roboto"/>
                  </a:rPr>
                  <a:t>Total LOC of the SUT(s)</a:t>
                </a:r>
              </a:p>
            </c:rich>
          </c:tx>
          <c:overlay val="0"/>
        </c:title>
        <c:numFmt formatCode="General" sourceLinked="0"/>
        <c:majorTickMark val="none"/>
        <c:minorTickMark val="none"/>
        <c:tickLblPos val="nextTo"/>
        <c:spPr>
          <a:ln/>
        </c:spPr>
        <c:txPr>
          <a:bodyPr/>
          <a:lstStyle/>
          <a:p>
            <a:pPr lvl="0">
              <a:defRPr b="0">
                <a:solidFill>
                  <a:srgbClr val="000000"/>
                </a:solidFill>
                <a:latin typeface="Roboto"/>
              </a:defRPr>
            </a:pPr>
          </a:p>
        </c:txPr>
        <c:crossAx val="1756199945"/>
      </c:valAx>
    </c:plotArea>
    <c:plotVisOnly val="0"/>
  </c:chart>
</c:chartSpace>
</file>

<file path=xl/charts/chart1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Normalized Citation Count vs Year Published</a:t>
            </a:r>
          </a:p>
        </c:rich>
      </c:tx>
      <c:overlay val="0"/>
    </c:title>
    <c:plotArea>
      <c:layout/>
      <c:scatterChart>
        <c:scatterStyle val="lineMarker"/>
        <c:varyColors val="0"/>
        <c:ser>
          <c:idx val="0"/>
          <c:order val="0"/>
          <c:spPr>
            <a:ln>
              <a:noFill/>
            </a:ln>
          </c:spPr>
          <c:marker>
            <c:symbol val="circle"/>
            <c:size val="7"/>
            <c:spPr>
              <a:solidFill>
                <a:srgbClr val="3366CC"/>
              </a:solidFill>
              <a:ln cmpd="sng">
                <a:solidFill>
                  <a:srgbClr val="3366CC"/>
                </a:solidFill>
              </a:ln>
            </c:spPr>
          </c:marker>
          <c:xVal>
            <c:numRef>
              <c:f>'SM Repository'!$AF$3:$AF$81</c:f>
            </c:numRef>
          </c:xVal>
          <c:yVal>
            <c:numRef>
              <c:f>'SM Repository'!$AI$3:$AI$81</c:f>
              <c:numCache/>
            </c:numRef>
          </c:yVal>
        </c:ser>
        <c:dLbls>
          <c:showLegendKey val="0"/>
          <c:showVal val="0"/>
          <c:showCatName val="0"/>
          <c:showSerName val="0"/>
          <c:showPercent val="0"/>
          <c:showBubbleSize val="0"/>
        </c:dLbls>
        <c:axId val="700642946"/>
        <c:axId val="515607696"/>
      </c:scatterChart>
      <c:valAx>
        <c:axId val="700642946"/>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i="0" sz="1200">
                    <a:solidFill>
                      <a:srgbClr val="222222"/>
                    </a:solidFill>
                    <a:latin typeface="Roboto"/>
                  </a:defRPr>
                </a:pPr>
                <a:r>
                  <a:rPr b="0" i="0" sz="1200">
                    <a:solidFill>
                      <a:srgbClr val="222222"/>
                    </a:solidFill>
                    <a:latin typeface="Roboto"/>
                  </a:rPr>
                  <a:t>Publication year</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515607696"/>
      </c:valAx>
      <c:valAx>
        <c:axId val="51560769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i="0" sz="1200">
                    <a:solidFill>
                      <a:srgbClr val="222222"/>
                    </a:solidFill>
                    <a:latin typeface="Roboto"/>
                  </a:defRPr>
                </a:pPr>
                <a:r>
                  <a:rPr b="0" i="0" sz="1200">
                    <a:solidFill>
                      <a:srgbClr val="222222"/>
                    </a:solidFill>
                    <a:latin typeface="Roboto"/>
                  </a:rPr>
                  <a:t>Normalized Citation Count</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700642946"/>
      </c:valAx>
    </c:plotArea>
    <c:plotVisOnly val="0"/>
  </c:chart>
</c:chartSpace>
</file>

<file path=xl/charts/chart1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Synchronicity of HTTP calls</a:t>
            </a:r>
          </a:p>
        </c:rich>
      </c:tx>
      <c:overlay val="0"/>
    </c:title>
    <c:plotArea>
      <c:layout/>
      <c:barChart>
        <c:barDir val="col"/>
        <c:grouping val="stacked"/>
        <c:ser>
          <c:idx val="0"/>
          <c:order val="0"/>
          <c:tx>
            <c:strRef>
              <c:f>'Charts-SLR'!$B$678</c:f>
            </c:strRef>
          </c:tx>
          <c:spPr>
            <a:solidFill>
              <a:srgbClr val="434343"/>
            </a:solidFill>
            <a:ln cmpd="sng">
              <a:solidFill>
                <a:srgbClr val="000000"/>
              </a:solidFill>
            </a:ln>
          </c:spPr>
          <c:cat>
            <c:strRef>
              <c:f>'Charts-SLR'!$A$679:$A$689</c:f>
            </c:strRef>
          </c:cat>
          <c:val>
            <c:numRef>
              <c:f>'Charts-SLR'!$B$679:$B$689</c:f>
              <c:numCache/>
            </c:numRef>
          </c:val>
        </c:ser>
        <c:ser>
          <c:idx val="1"/>
          <c:order val="1"/>
          <c:tx>
            <c:strRef>
              <c:f>'Charts-SLR'!$C$678</c:f>
            </c:strRef>
          </c:tx>
          <c:spPr>
            <a:solidFill>
              <a:srgbClr val="999999"/>
            </a:solidFill>
            <a:ln cmpd="sng">
              <a:solidFill>
                <a:srgbClr val="000000"/>
              </a:solidFill>
            </a:ln>
          </c:spPr>
          <c:cat>
            <c:strRef>
              <c:f>'Charts-SLR'!$A$679:$A$689</c:f>
            </c:strRef>
          </c:cat>
          <c:val>
            <c:numRef>
              <c:f>'Charts-SLR'!$C$679:$C$689</c:f>
              <c:numCache/>
            </c:numRef>
          </c:val>
        </c:ser>
        <c:overlap val="100"/>
        <c:axId val="1405691192"/>
        <c:axId val="1928741774"/>
      </c:barChart>
      <c:catAx>
        <c:axId val="1405691192"/>
        <c:scaling>
          <c:orientation val="minMax"/>
        </c:scaling>
        <c:delete val="0"/>
        <c:axPos val="b"/>
        <c:title>
          <c:tx>
            <c:rich>
              <a:bodyPr/>
              <a:lstStyle/>
              <a:p>
                <a:pPr lvl="0">
                  <a:defRPr b="0" i="1" sz="1200">
                    <a:solidFill>
                      <a:srgbClr val="222222"/>
                    </a:solidFill>
                    <a:latin typeface="Roboto"/>
                  </a:defRPr>
                </a:pPr>
                <a:r>
                  <a:rPr b="0" i="1" sz="1200">
                    <a:solidFill>
                      <a:srgbClr val="222222"/>
                    </a:solidFill>
                    <a:latin typeface="Roboto"/>
                  </a:rPr>
                  <a:t/>
                </a:r>
              </a:p>
            </c:rich>
          </c:tx>
          <c:overlay val="0"/>
        </c:title>
        <c:numFmt formatCode="General" sourceLinked="1"/>
        <c:majorTickMark val="none"/>
        <c:minorTickMark val="none"/>
        <c:spPr/>
        <c:txPr>
          <a:bodyPr/>
          <a:lstStyle/>
          <a:p>
            <a:pPr lvl="0">
              <a:defRPr b="0" sz="1200">
                <a:solidFill>
                  <a:srgbClr val="222222"/>
                </a:solidFill>
                <a:latin typeface="Roboto"/>
              </a:defRPr>
            </a:pPr>
          </a:p>
        </c:txPr>
        <c:crossAx val="1928741774"/>
      </c:catAx>
      <c:valAx>
        <c:axId val="192874177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i="0" sz="1200">
                    <a:solidFill>
                      <a:srgbClr val="222222"/>
                    </a:solidFill>
                    <a:latin typeface="Roboto"/>
                  </a:defRPr>
                </a:pPr>
                <a:r>
                  <a:rPr b="0" i="0" sz="1200">
                    <a:solidFill>
                      <a:srgbClr val="222222"/>
                    </a:solidFill>
                    <a:latin typeface="Roboto"/>
                  </a:rPr>
                  <a:t>Number of papers</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405691192"/>
      </c:valAx>
    </c:plotArea>
    <c:legend>
      <c:legendPos val="b"/>
      <c:overlay val="0"/>
      <c:txPr>
        <a:bodyPr/>
        <a:lstStyle/>
        <a:p>
          <a:pPr lvl="0">
            <a:defRPr b="0">
              <a:solidFill>
                <a:srgbClr val="000000"/>
              </a:solidFill>
              <a:latin typeface="Roboto"/>
            </a:defRPr>
          </a:pPr>
        </a:p>
      </c:txPr>
    </c:legend>
    <c:plotVisOnly val="0"/>
  </c:chart>
</c:chartSpace>
</file>

<file path=xl/charts/chart1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Annual Trend for Test Location</a:t>
            </a:r>
          </a:p>
        </c:rich>
      </c:tx>
      <c:overlay val="0"/>
    </c:title>
    <c:plotArea>
      <c:layout/>
      <c:lineChart>
        <c:ser>
          <c:idx val="0"/>
          <c:order val="0"/>
          <c:tx>
            <c:strRef>
              <c:f>'Charts-SLR'!$B$416</c:f>
            </c:strRef>
          </c:tx>
          <c:spPr>
            <a:ln cmpd="sng">
              <a:solidFill>
                <a:srgbClr val="666666">
                  <a:alpha val="100000"/>
                </a:srgbClr>
              </a:solidFill>
            </a:ln>
          </c:spPr>
          <c:marker>
            <c:symbol val="none"/>
          </c:marker>
          <c:cat>
            <c:strRef>
              <c:f>'Charts-SLR'!$A$417:$A$427</c:f>
            </c:strRef>
          </c:cat>
          <c:val>
            <c:numRef>
              <c:f>'Charts-SLR'!$B$417:$B$427</c:f>
              <c:numCache/>
            </c:numRef>
          </c:val>
          <c:smooth val="0"/>
        </c:ser>
        <c:ser>
          <c:idx val="1"/>
          <c:order val="1"/>
          <c:tx>
            <c:strRef>
              <c:f>'Charts-SLR'!$C$416</c:f>
            </c:strRef>
          </c:tx>
          <c:spPr>
            <a:ln cmpd="sng">
              <a:solidFill>
                <a:srgbClr val="CCCCCC">
                  <a:alpha val="100000"/>
                </a:srgbClr>
              </a:solidFill>
            </a:ln>
          </c:spPr>
          <c:marker>
            <c:symbol val="none"/>
          </c:marker>
          <c:cat>
            <c:strRef>
              <c:f>'Charts-SLR'!$A$417:$A$427</c:f>
            </c:strRef>
          </c:cat>
          <c:val>
            <c:numRef>
              <c:f>'Charts-SLR'!$C$417:$C$427</c:f>
              <c:numCache/>
            </c:numRef>
          </c:val>
          <c:smooth val="0"/>
        </c:ser>
        <c:ser>
          <c:idx val="2"/>
          <c:order val="2"/>
          <c:tx>
            <c:strRef>
              <c:f>'Charts-SLR'!$D$416</c:f>
            </c:strRef>
          </c:tx>
          <c:spPr>
            <a:ln cmpd="sng" w="38100">
              <a:solidFill>
                <a:srgbClr val="000000">
                  <a:alpha val="100000"/>
                </a:srgbClr>
              </a:solidFill>
            </a:ln>
          </c:spPr>
          <c:marker>
            <c:symbol val="none"/>
          </c:marker>
          <c:cat>
            <c:strRef>
              <c:f>'Charts-SLR'!$A$417:$A$427</c:f>
            </c:strRef>
          </c:cat>
          <c:val>
            <c:numRef>
              <c:f>'Charts-SLR'!$D$417:$D$427</c:f>
              <c:numCache/>
            </c:numRef>
          </c:val>
          <c:smooth val="0"/>
        </c:ser>
        <c:axId val="1808345385"/>
        <c:axId val="8581054"/>
      </c:lineChart>
      <c:catAx>
        <c:axId val="1808345385"/>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0"/>
        <c:majorTickMark val="none"/>
        <c:minorTickMark val="none"/>
        <c:spPr/>
        <c:txPr>
          <a:bodyPr/>
          <a:lstStyle/>
          <a:p>
            <a:pPr lvl="0">
              <a:defRPr b="0">
                <a:solidFill>
                  <a:srgbClr val="000000"/>
                </a:solidFill>
                <a:latin typeface="Roboto"/>
              </a:defRPr>
            </a:pPr>
          </a:p>
        </c:txPr>
        <c:crossAx val="8581054"/>
      </c:catAx>
      <c:valAx>
        <c:axId val="858105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i="0" sz="1200">
                    <a:solidFill>
                      <a:srgbClr val="222222"/>
                    </a:solidFill>
                    <a:latin typeface="Roboto"/>
                  </a:defRPr>
                </a:pPr>
                <a:r>
                  <a:rPr b="0" i="0" sz="1200">
                    <a:solidFill>
                      <a:srgbClr val="222222"/>
                    </a:solidFill>
                    <a:latin typeface="Roboto"/>
                  </a:rPr>
                  <a:t>Number of papers</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808345385"/>
      </c:valAx>
    </c:plotArea>
    <c:legend>
      <c:legendPos val="r"/>
      <c:overlay val="0"/>
      <c:txPr>
        <a:bodyPr/>
        <a:lstStyle/>
        <a:p>
          <a:pPr lvl="0">
            <a:defRPr b="0">
              <a:solidFill>
                <a:srgbClr val="000000"/>
              </a:solidFill>
              <a:latin typeface="Roboto"/>
            </a:defRPr>
          </a:pPr>
        </a:p>
      </c:txPr>
    </c:legend>
    <c:plotVisOnly val="0"/>
  </c:chart>
</c:chartSpace>
</file>

<file path=xl/charts/chart2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bar"/>
        <c:ser>
          <c:idx val="0"/>
          <c:order val="0"/>
          <c:tx>
            <c:strRef>
              <c:f>'Charts-SLR'!$B$520</c:f>
            </c:strRef>
          </c:tx>
          <c:spPr>
            <a:solidFill>
              <a:srgbClr val="000000"/>
            </a:solidFill>
            <a:ln cmpd="sng">
              <a:solidFill>
                <a:srgbClr val="000000"/>
              </a:solidFill>
            </a:ln>
          </c:spPr>
          <c:cat>
            <c:strRef>
              <c:f>'Charts-SLR'!$A$521:$A$531</c:f>
            </c:strRef>
          </c:cat>
          <c:val>
            <c:numRef>
              <c:f>'Charts-SLR'!$B$521:$B$531</c:f>
              <c:numCache/>
            </c:numRef>
          </c:val>
        </c:ser>
        <c:ser>
          <c:idx val="1"/>
          <c:order val="1"/>
          <c:tx>
            <c:strRef>
              <c:f>'Charts-SLR'!$C$520</c:f>
            </c:strRef>
          </c:tx>
          <c:spPr>
            <a:solidFill>
              <a:srgbClr val="999999"/>
            </a:solidFill>
            <a:ln cmpd="sng">
              <a:solidFill>
                <a:srgbClr val="000000"/>
              </a:solidFill>
            </a:ln>
          </c:spPr>
          <c:cat>
            <c:strRef>
              <c:f>'Charts-SLR'!$A$521:$A$531</c:f>
            </c:strRef>
          </c:cat>
          <c:val>
            <c:numRef>
              <c:f>'Charts-SLR'!$C$521:$C$531</c:f>
              <c:numCache/>
            </c:numRef>
          </c:val>
        </c:ser>
        <c:axId val="185807015"/>
        <c:axId val="411868525"/>
      </c:barChart>
      <c:catAx>
        <c:axId val="185807015"/>
        <c:scaling>
          <c:orientation val="maxMin"/>
        </c:scaling>
        <c:delete val="0"/>
        <c:axPos val="l"/>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411868525"/>
      </c:catAx>
      <c:valAx>
        <c:axId val="411868525"/>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i="0" sz="1400">
                    <a:solidFill>
                      <a:srgbClr val="222222"/>
                    </a:solidFill>
                    <a:latin typeface="Roboto"/>
                  </a:defRPr>
                </a:pPr>
                <a:r>
                  <a:rPr b="0" i="0" sz="1400">
                    <a:solidFill>
                      <a:srgbClr val="222222"/>
                    </a:solidFill>
                    <a:latin typeface="Roboto"/>
                  </a:rPr>
                  <a:t>Number of papers</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85807015"/>
        <c:crosses val="max"/>
      </c:valAx>
    </c:plotArea>
    <c:legend>
      <c:legendPos val="r"/>
      <c:overlay val="0"/>
      <c:txPr>
        <a:bodyPr/>
        <a:lstStyle/>
        <a:p>
          <a:pPr lvl="0">
            <a:defRPr b="0">
              <a:solidFill>
                <a:srgbClr val="000000"/>
              </a:solidFill>
              <a:latin typeface="Roboto"/>
            </a:defRPr>
          </a:pPr>
        </a:p>
      </c:txPr>
    </c:legend>
    <c:plotVisOnly val="0"/>
  </c:chart>
</c:chartSpace>
</file>

<file path=xl/charts/chart2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bar"/>
        <c:ser>
          <c:idx val="0"/>
          <c:order val="0"/>
          <c:tx>
            <c:strRef>
              <c:f>'Charts-SLR'!$B$544</c:f>
            </c:strRef>
          </c:tx>
          <c:spPr>
            <a:solidFill>
              <a:srgbClr val="000000"/>
            </a:solidFill>
            <a:ln cmpd="sng">
              <a:solidFill>
                <a:srgbClr val="000000"/>
              </a:solidFill>
            </a:ln>
          </c:spPr>
          <c:cat>
            <c:strRef>
              <c:f>'Charts-SLR'!$A$545:$A$555</c:f>
            </c:strRef>
          </c:cat>
          <c:val>
            <c:numRef>
              <c:f>'Charts-SLR'!$B$545:$B$555</c:f>
              <c:numCache/>
            </c:numRef>
          </c:val>
        </c:ser>
        <c:ser>
          <c:idx val="1"/>
          <c:order val="1"/>
          <c:tx>
            <c:strRef>
              <c:f>'Charts-SLR'!$C$544</c:f>
            </c:strRef>
          </c:tx>
          <c:spPr>
            <a:solidFill>
              <a:srgbClr val="999999"/>
            </a:solidFill>
            <a:ln cmpd="sng">
              <a:solidFill>
                <a:srgbClr val="000000"/>
              </a:solidFill>
            </a:ln>
          </c:spPr>
          <c:cat>
            <c:strRef>
              <c:f>'Charts-SLR'!$A$545:$A$555</c:f>
            </c:strRef>
          </c:cat>
          <c:val>
            <c:numRef>
              <c:f>'Charts-SLR'!$C$545:$C$555</c:f>
              <c:numCache/>
            </c:numRef>
          </c:val>
        </c:ser>
        <c:axId val="239043503"/>
        <c:axId val="862772948"/>
      </c:barChart>
      <c:catAx>
        <c:axId val="239043503"/>
        <c:scaling>
          <c:orientation val="maxMin"/>
        </c:scaling>
        <c:delete val="0"/>
        <c:axPos val="l"/>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862772948"/>
      </c:catAx>
      <c:valAx>
        <c:axId val="862772948"/>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i="0" sz="1400">
                    <a:solidFill>
                      <a:srgbClr val="222222"/>
                    </a:solidFill>
                    <a:latin typeface="Roboto"/>
                  </a:defRPr>
                </a:pPr>
                <a:r>
                  <a:rPr b="0" i="0" sz="1400">
                    <a:solidFill>
                      <a:srgbClr val="222222"/>
                    </a:solidFill>
                    <a:latin typeface="Roboto"/>
                  </a:rPr>
                  <a:t>Number of papers</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239043503"/>
        <c:crosses val="max"/>
      </c:valAx>
    </c:plotArea>
    <c:legend>
      <c:legendPos val="r"/>
      <c:overlay val="0"/>
      <c:txPr>
        <a:bodyPr/>
        <a:lstStyle/>
        <a:p>
          <a:pPr lvl="0">
            <a:defRPr b="0">
              <a:solidFill>
                <a:srgbClr val="000000"/>
              </a:solidFill>
              <a:latin typeface="Roboto"/>
            </a:defRPr>
          </a:pPr>
        </a:p>
      </c:txPr>
    </c:legend>
    <c:plotVisOnly val="0"/>
  </c:chart>
</c:chartSpace>
</file>

<file path=xl/charts/chart2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bar"/>
        <c:ser>
          <c:idx val="0"/>
          <c:order val="0"/>
          <c:spPr>
            <a:solidFill>
              <a:srgbClr val="3366CC"/>
            </a:solidFill>
            <a:ln cmpd="sng">
              <a:solidFill>
                <a:srgbClr val="000000"/>
              </a:solidFill>
            </a:ln>
          </c:spPr>
          <c:cat>
            <c:strRef>
              <c:f>'Charts-SLR'!$A$581:$D$581</c:f>
            </c:strRef>
          </c:cat>
          <c:val>
            <c:numRef>
              <c:f>'Charts-SLR'!$A$582:$D$582</c:f>
              <c:numCache/>
            </c:numRef>
          </c:val>
        </c:ser>
        <c:axId val="564320314"/>
        <c:axId val="987030560"/>
      </c:barChart>
      <c:catAx>
        <c:axId val="564320314"/>
        <c:scaling>
          <c:orientation val="maxMin"/>
        </c:scaling>
        <c:delete val="0"/>
        <c:axPos val="l"/>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987030560"/>
      </c:catAx>
      <c:valAx>
        <c:axId val="987030560"/>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i="0" sz="1400">
                    <a:solidFill>
                      <a:srgbClr val="222222"/>
                    </a:solidFill>
                    <a:latin typeface="Roboto"/>
                  </a:defRPr>
                </a:pPr>
                <a:r>
                  <a:rPr b="0" i="0" sz="1400">
                    <a:solidFill>
                      <a:srgbClr val="222222"/>
                    </a:solidFill>
                    <a:latin typeface="Roboto"/>
                  </a:rPr>
                  <a:t>Number of papers</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564320314"/>
        <c:crosses val="max"/>
      </c:valAx>
    </c:plotArea>
    <c:plotVisOnly val="0"/>
  </c:chart>
</c:chartSpace>
</file>

<file path=xl/charts/chart2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bar"/>
        <c:grouping val="stacked"/>
        <c:ser>
          <c:idx val="0"/>
          <c:order val="0"/>
          <c:tx>
            <c:strRef>
              <c:f>'Charts-SLR'!$B$903</c:f>
            </c:strRef>
          </c:tx>
          <c:spPr>
            <a:solidFill>
              <a:srgbClr val="38761D"/>
            </a:solidFill>
            <a:ln cmpd="sng">
              <a:solidFill>
                <a:srgbClr val="000000"/>
              </a:solidFill>
            </a:ln>
          </c:spPr>
          <c:cat>
            <c:strRef>
              <c:f>'Charts-SLR'!$A$904:$A$916</c:f>
            </c:strRef>
          </c:cat>
          <c:val>
            <c:numRef>
              <c:f>'Charts-SLR'!$B$904:$B$916</c:f>
              <c:numCache/>
            </c:numRef>
          </c:val>
        </c:ser>
        <c:ser>
          <c:idx val="1"/>
          <c:order val="1"/>
          <c:tx>
            <c:strRef>
              <c:f>'Charts-SLR'!$C$903</c:f>
            </c:strRef>
          </c:tx>
          <c:spPr>
            <a:solidFill>
              <a:srgbClr val="E06666"/>
            </a:solidFill>
            <a:ln cmpd="sng">
              <a:solidFill>
                <a:srgbClr val="000000"/>
              </a:solidFill>
            </a:ln>
          </c:spPr>
          <c:cat>
            <c:strRef>
              <c:f>'Charts-SLR'!$A$904:$A$916</c:f>
            </c:strRef>
          </c:cat>
          <c:val>
            <c:numRef>
              <c:f>'Charts-SLR'!$C$904:$C$916</c:f>
              <c:numCache/>
            </c:numRef>
          </c:val>
        </c:ser>
        <c:overlap val="100"/>
        <c:axId val="1332898451"/>
        <c:axId val="562313335"/>
      </c:barChart>
      <c:catAx>
        <c:axId val="1332898451"/>
        <c:scaling>
          <c:orientation val="maxMin"/>
        </c:scaling>
        <c:delete val="0"/>
        <c:axPos val="l"/>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562313335"/>
      </c:catAx>
      <c:valAx>
        <c:axId val="562313335"/>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i="0" sz="1400">
                    <a:solidFill>
                      <a:srgbClr val="222222"/>
                    </a:solidFill>
                    <a:latin typeface="Roboto"/>
                  </a:defRPr>
                </a:pPr>
                <a:r>
                  <a:rPr b="0" i="0" sz="1400">
                    <a:solidFill>
                      <a:srgbClr val="222222"/>
                    </a:solidFill>
                    <a:latin typeface="Roboto"/>
                  </a:rPr>
                  <a:t>Number of papers presenting tools</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332898451"/>
        <c:crosses val="max"/>
      </c:valAx>
    </c:plotArea>
    <c:legend>
      <c:legendPos val="t"/>
      <c:overlay val="0"/>
      <c:txPr>
        <a:bodyPr/>
        <a:lstStyle/>
        <a:p>
          <a:pPr lvl="0">
            <a:defRPr b="0">
              <a:solidFill>
                <a:srgbClr val="000000"/>
              </a:solidFill>
              <a:latin typeface="Roboto"/>
            </a:defRPr>
          </a:pPr>
        </a:p>
      </c:txPr>
    </c:legend>
    <c:plotVisOnly val="0"/>
  </c:chart>
</c:chartSpace>
</file>

<file path=xl/charts/chart2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bar"/>
        <c:grouping val="stacked"/>
        <c:ser>
          <c:idx val="0"/>
          <c:order val="0"/>
          <c:tx>
            <c:strRef>
              <c:f>'Charts-SLR'!$B$928</c:f>
            </c:strRef>
          </c:tx>
          <c:spPr>
            <a:solidFill>
              <a:srgbClr val="38761D"/>
            </a:solidFill>
            <a:ln cmpd="sng">
              <a:solidFill>
                <a:srgbClr val="000000"/>
              </a:solidFill>
            </a:ln>
          </c:spPr>
          <c:cat>
            <c:strRef>
              <c:f>'Charts-SLR'!$C$927:$L$927</c:f>
            </c:strRef>
          </c:cat>
          <c:val>
            <c:numRef>
              <c:f>'Charts-SLR'!$C$928:$L$928</c:f>
              <c:numCache/>
            </c:numRef>
          </c:val>
        </c:ser>
        <c:ser>
          <c:idx val="1"/>
          <c:order val="1"/>
          <c:tx>
            <c:strRef>
              <c:f>'Charts-SLR'!$B$929</c:f>
            </c:strRef>
          </c:tx>
          <c:spPr>
            <a:solidFill>
              <a:srgbClr val="E06666"/>
            </a:solidFill>
            <a:ln cmpd="sng">
              <a:solidFill>
                <a:srgbClr val="000000"/>
              </a:solidFill>
            </a:ln>
          </c:spPr>
          <c:cat>
            <c:strRef>
              <c:f>'Charts-SLR'!$C$927:$L$927</c:f>
            </c:strRef>
          </c:cat>
          <c:val>
            <c:numRef>
              <c:f>'Charts-SLR'!$C$929:$L$929</c:f>
              <c:numCache/>
            </c:numRef>
          </c:val>
        </c:ser>
        <c:overlap val="100"/>
        <c:axId val="1851245104"/>
        <c:axId val="2036529981"/>
      </c:barChart>
      <c:catAx>
        <c:axId val="1851245104"/>
        <c:scaling>
          <c:orientation val="maxMin"/>
        </c:scaling>
        <c:delete val="0"/>
        <c:axPos val="l"/>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2036529981"/>
      </c:catAx>
      <c:valAx>
        <c:axId val="2036529981"/>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i="0" sz="1400">
                    <a:solidFill>
                      <a:srgbClr val="222222"/>
                    </a:solidFill>
                    <a:latin typeface="Roboto"/>
                  </a:defRPr>
                </a:pPr>
                <a:r>
                  <a:rPr b="0" i="0" sz="1400">
                    <a:solidFill>
                      <a:srgbClr val="222222"/>
                    </a:solidFill>
                    <a:latin typeface="Roboto"/>
                  </a:rPr>
                  <a:t>Number of tools</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851245104"/>
        <c:crosses val="max"/>
      </c:valAx>
    </c:plotArea>
    <c:legend>
      <c:legendPos val="r"/>
      <c:overlay val="0"/>
      <c:txPr>
        <a:bodyPr/>
        <a:lstStyle/>
        <a:p>
          <a:pPr lvl="0">
            <a:defRPr b="0">
              <a:solidFill>
                <a:srgbClr val="000000"/>
              </a:solidFill>
              <a:latin typeface="Roboto"/>
            </a:defRPr>
          </a:pPr>
        </a:p>
      </c:txPr>
    </c:legend>
    <c:plotVisOnly val="0"/>
  </c:chart>
</c:chartSpace>
</file>

<file path=xl/charts/chart2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600">
                <a:solidFill>
                  <a:srgbClr val="000000"/>
                </a:solidFill>
                <a:latin typeface="Roboto"/>
              </a:defRPr>
            </a:pPr>
            <a:r>
              <a:rPr b="0" sz="1600">
                <a:solidFill>
                  <a:srgbClr val="000000"/>
                </a:solidFill>
                <a:latin typeface="Roboto"/>
              </a:rPr>
              <a:t>Chart title</a:t>
            </a:r>
          </a:p>
        </c:rich>
      </c:tx>
      <c:overlay val="0"/>
    </c:title>
    <c:plotArea>
      <c:layout/>
      <c:lineChart>
        <c:ser>
          <c:idx val="0"/>
          <c:order val="0"/>
          <c:tx>
            <c:strRef>
              <c:f>'Charts-SLR'!$K$358</c:f>
            </c:strRef>
          </c:tx>
          <c:spPr>
            <a:ln cmpd="sng">
              <a:solidFill>
                <a:srgbClr val="3366CC"/>
              </a:solidFill>
            </a:ln>
          </c:spPr>
          <c:marker>
            <c:symbol val="none"/>
          </c:marker>
          <c:cat>
            <c:strRef>
              <c:f>'Charts-SLR'!$J$359:$J$372</c:f>
            </c:strRef>
          </c:cat>
          <c:val>
            <c:numRef>
              <c:f>'Charts-SLR'!$K$359:$K$372</c:f>
              <c:numCache/>
            </c:numRef>
          </c:val>
          <c:smooth val="0"/>
        </c:ser>
        <c:ser>
          <c:idx val="1"/>
          <c:order val="1"/>
          <c:tx>
            <c:strRef>
              <c:f>'Charts-SLR'!$L$358</c:f>
            </c:strRef>
          </c:tx>
          <c:spPr>
            <a:ln cmpd="sng">
              <a:solidFill>
                <a:srgbClr val="DC3912"/>
              </a:solidFill>
            </a:ln>
          </c:spPr>
          <c:marker>
            <c:symbol val="none"/>
          </c:marker>
          <c:cat>
            <c:strRef>
              <c:f>'Charts-SLR'!$J$359:$J$372</c:f>
            </c:strRef>
          </c:cat>
          <c:val>
            <c:numRef>
              <c:f>'Charts-SLR'!$L$359:$L$372</c:f>
              <c:numCache/>
            </c:numRef>
          </c:val>
          <c:smooth val="0"/>
        </c:ser>
        <c:ser>
          <c:idx val="2"/>
          <c:order val="2"/>
          <c:tx>
            <c:strRef>
              <c:f>'Charts-SLR'!$M$358</c:f>
            </c:strRef>
          </c:tx>
          <c:spPr>
            <a:ln cmpd="sng">
              <a:solidFill>
                <a:srgbClr val="FF9900"/>
              </a:solidFill>
            </a:ln>
          </c:spPr>
          <c:marker>
            <c:symbol val="none"/>
          </c:marker>
          <c:cat>
            <c:strRef>
              <c:f>'Charts-SLR'!$J$359:$J$372</c:f>
            </c:strRef>
          </c:cat>
          <c:val>
            <c:numRef>
              <c:f>'Charts-SLR'!$M$359:$M$372</c:f>
              <c:numCache/>
            </c:numRef>
          </c:val>
          <c:smooth val="0"/>
        </c:ser>
        <c:ser>
          <c:idx val="3"/>
          <c:order val="3"/>
          <c:tx>
            <c:strRef>
              <c:f>'Charts-SLR'!$N$358</c:f>
            </c:strRef>
          </c:tx>
          <c:spPr>
            <a:ln cmpd="sng">
              <a:solidFill>
                <a:srgbClr val="109618"/>
              </a:solidFill>
            </a:ln>
          </c:spPr>
          <c:marker>
            <c:symbol val="none"/>
          </c:marker>
          <c:cat>
            <c:strRef>
              <c:f>'Charts-SLR'!$J$359:$J$372</c:f>
            </c:strRef>
          </c:cat>
          <c:val>
            <c:numRef>
              <c:f>'Charts-SLR'!$N$359:$N$372</c:f>
              <c:numCache/>
            </c:numRef>
          </c:val>
          <c:smooth val="0"/>
        </c:ser>
        <c:ser>
          <c:idx val="4"/>
          <c:order val="4"/>
          <c:tx>
            <c:strRef>
              <c:f>'Charts-SLR'!$O$358</c:f>
            </c:strRef>
          </c:tx>
          <c:spPr>
            <a:ln cmpd="sng">
              <a:solidFill>
                <a:srgbClr val="990099"/>
              </a:solidFill>
            </a:ln>
          </c:spPr>
          <c:marker>
            <c:symbol val="none"/>
          </c:marker>
          <c:cat>
            <c:strRef>
              <c:f>'Charts-SLR'!$J$359:$J$372</c:f>
            </c:strRef>
          </c:cat>
          <c:val>
            <c:numRef>
              <c:f>'Charts-SLR'!$O$359:$O$372</c:f>
              <c:numCache/>
            </c:numRef>
          </c:val>
          <c:smooth val="0"/>
        </c:ser>
        <c:ser>
          <c:idx val="5"/>
          <c:order val="5"/>
          <c:tx>
            <c:strRef>
              <c:f>'Charts-SLR'!$P$358</c:f>
            </c:strRef>
          </c:tx>
          <c:spPr>
            <a:ln cmpd="sng">
              <a:solidFill>
                <a:srgbClr val="0099C6"/>
              </a:solidFill>
            </a:ln>
          </c:spPr>
          <c:marker>
            <c:symbol val="none"/>
          </c:marker>
          <c:cat>
            <c:strRef>
              <c:f>'Charts-SLR'!$J$359:$J$372</c:f>
            </c:strRef>
          </c:cat>
          <c:val>
            <c:numRef>
              <c:f>'Charts-SLR'!$P$359:$P$372</c:f>
              <c:numCache/>
            </c:numRef>
          </c:val>
          <c:smooth val="0"/>
        </c:ser>
        <c:ser>
          <c:idx val="6"/>
          <c:order val="6"/>
          <c:tx>
            <c:strRef>
              <c:f>'Charts-SLR'!$Q$358</c:f>
            </c:strRef>
          </c:tx>
          <c:spPr>
            <a:ln cmpd="sng">
              <a:solidFill>
                <a:srgbClr val="DD4477"/>
              </a:solidFill>
            </a:ln>
          </c:spPr>
          <c:marker>
            <c:symbol val="none"/>
          </c:marker>
          <c:cat>
            <c:strRef>
              <c:f>'Charts-SLR'!$J$359:$J$372</c:f>
            </c:strRef>
          </c:cat>
          <c:val>
            <c:numRef>
              <c:f>'Charts-SLR'!$Q$359:$Q$372</c:f>
              <c:numCache/>
            </c:numRef>
          </c:val>
          <c:smooth val="0"/>
        </c:ser>
        <c:axId val="1031537056"/>
        <c:axId val="1307955257"/>
      </c:lineChart>
      <c:catAx>
        <c:axId val="1031537056"/>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1307955257"/>
      </c:catAx>
      <c:valAx>
        <c:axId val="130795525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i="0" sz="1400">
                    <a:solidFill>
                      <a:srgbClr val="222222"/>
                    </a:solidFill>
                    <a:latin typeface="Roboto"/>
                  </a:defRPr>
                </a:pPr>
                <a:r>
                  <a:rPr b="0" i="0" sz="1400">
                    <a:solidFill>
                      <a:srgbClr val="222222"/>
                    </a:solidFill>
                    <a:latin typeface="Roboto"/>
                  </a:rPr>
                  <a:t>Number of papers</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031537056"/>
      </c:valAx>
    </c:plotArea>
    <c:legend>
      <c:legendPos val="r"/>
      <c:overlay val="0"/>
      <c:txPr>
        <a:bodyPr/>
        <a:lstStyle/>
        <a:p>
          <a:pPr lvl="0">
            <a:defRPr b="0">
              <a:solidFill>
                <a:srgbClr val="000000"/>
              </a:solidFill>
              <a:latin typeface="Roboto"/>
            </a:defRPr>
          </a:pPr>
        </a:p>
      </c:txPr>
    </c:legend>
    <c:plotVisOnly val="0"/>
  </c:chart>
</c:chartSpace>
</file>

<file path=xl/charts/chart2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Top 10 venues</a:t>
            </a:r>
          </a:p>
        </c:rich>
      </c:tx>
      <c:overlay val="0"/>
    </c:title>
    <c:plotArea>
      <c:layout/>
      <c:bubbleChart>
        <c:ser>
          <c:idx val="0"/>
          <c:order val="0"/>
          <c:tx>
            <c:strRef>
              <c:f>'Venue Data &amp; Chart'!$B$1</c:f>
            </c:strRef>
          </c:tx>
          <c:dLbls>
            <c:dLblPos val="ctr"/>
            <c:showLegendKey val="0"/>
            <c:showVal val="0"/>
            <c:showCatName val="0"/>
            <c:showSerName val="1"/>
            <c:showPercent val="0"/>
            <c:showBubbleSize val="0"/>
          </c:dLbls>
          <c:xVal>
            <c:strRef>
              <c:f>'Venue Data &amp; Chart'!$C$1</c:f>
            </c:strRef>
          </c:xVal>
          <c:yVal>
            <c:numRef>
              <c:f>'Venue Data &amp; Chart'!$D$1</c:f>
              <c:numCache/>
            </c:numRef>
          </c:yVal>
          <c:bubbleSize>
            <c:numLit>
              <c:ptCount val="1"/>
              <c:pt idx="0">
                <c:v>1</c:v>
              </c:pt>
            </c:numLit>
          </c:bubbleSize>
        </c:ser>
        <c:ser>
          <c:idx val="1"/>
          <c:order val="1"/>
          <c:tx>
            <c:strRef>
              <c:f>'Venue Data &amp; Chart'!$B$2</c:f>
            </c:strRef>
          </c:tx>
          <c:dLbls>
            <c:dLblPos val="ctr"/>
            <c:showLegendKey val="0"/>
            <c:showVal val="0"/>
            <c:showCatName val="0"/>
            <c:showSerName val="1"/>
            <c:showPercent val="0"/>
            <c:showBubbleSize val="0"/>
          </c:dLbls>
          <c:xVal>
            <c:strRef>
              <c:f>'Venue Data &amp; Chart'!$C$2</c:f>
            </c:strRef>
          </c:xVal>
          <c:yVal>
            <c:numRef>
              <c:f>'Venue Data &amp; Chart'!$D$2</c:f>
              <c:numCache/>
            </c:numRef>
          </c:yVal>
          <c:bubbleSize>
            <c:numLit>
              <c:ptCount val="1"/>
              <c:pt idx="0">
                <c:v>1</c:v>
              </c:pt>
            </c:numLit>
          </c:bubbleSize>
        </c:ser>
        <c:ser>
          <c:idx val="2"/>
          <c:order val="2"/>
          <c:tx>
            <c:strRef>
              <c:f>'Venue Data &amp; Chart'!$B$3</c:f>
            </c:strRef>
          </c:tx>
          <c:dLbls>
            <c:dLblPos val="ctr"/>
            <c:showLegendKey val="0"/>
            <c:showVal val="0"/>
            <c:showCatName val="0"/>
            <c:showSerName val="1"/>
            <c:showPercent val="0"/>
            <c:showBubbleSize val="0"/>
          </c:dLbls>
          <c:xVal>
            <c:strRef>
              <c:f>'Venue Data &amp; Chart'!$C$3</c:f>
            </c:strRef>
          </c:xVal>
          <c:yVal>
            <c:numRef>
              <c:f>'Venue Data &amp; Chart'!$D$3</c:f>
              <c:numCache/>
            </c:numRef>
          </c:yVal>
          <c:bubbleSize>
            <c:numLit>
              <c:ptCount val="1"/>
              <c:pt idx="0">
                <c:v>1</c:v>
              </c:pt>
            </c:numLit>
          </c:bubbleSize>
        </c:ser>
        <c:ser>
          <c:idx val="3"/>
          <c:order val="3"/>
          <c:tx>
            <c:strRef>
              <c:f>'Venue Data &amp; Chart'!$B$4</c:f>
            </c:strRef>
          </c:tx>
          <c:dLbls>
            <c:dLblPos val="ctr"/>
            <c:showLegendKey val="0"/>
            <c:showVal val="0"/>
            <c:showCatName val="0"/>
            <c:showSerName val="1"/>
            <c:showPercent val="0"/>
            <c:showBubbleSize val="0"/>
          </c:dLbls>
          <c:xVal>
            <c:strRef>
              <c:f>'Venue Data &amp; Chart'!$C$4</c:f>
            </c:strRef>
          </c:xVal>
          <c:yVal>
            <c:numRef>
              <c:f>'Venue Data &amp; Chart'!$D$4</c:f>
              <c:numCache/>
            </c:numRef>
          </c:yVal>
          <c:bubbleSize>
            <c:numLit>
              <c:ptCount val="1"/>
              <c:pt idx="0">
                <c:v>1</c:v>
              </c:pt>
            </c:numLit>
          </c:bubbleSize>
        </c:ser>
        <c:ser>
          <c:idx val="4"/>
          <c:order val="4"/>
          <c:tx>
            <c:strRef>
              <c:f>'Venue Data &amp; Chart'!$B$5</c:f>
            </c:strRef>
          </c:tx>
          <c:dLbls>
            <c:dLblPos val="ctr"/>
            <c:showLegendKey val="0"/>
            <c:showVal val="0"/>
            <c:showCatName val="0"/>
            <c:showSerName val="1"/>
            <c:showPercent val="0"/>
            <c:showBubbleSize val="0"/>
          </c:dLbls>
          <c:xVal>
            <c:strRef>
              <c:f>'Venue Data &amp; Chart'!$C$5</c:f>
            </c:strRef>
          </c:xVal>
          <c:yVal>
            <c:numRef>
              <c:f>'Venue Data &amp; Chart'!$D$5</c:f>
              <c:numCache/>
            </c:numRef>
          </c:yVal>
          <c:bubbleSize>
            <c:numLit>
              <c:ptCount val="1"/>
              <c:pt idx="0">
                <c:v>1</c:v>
              </c:pt>
            </c:numLit>
          </c:bubbleSize>
        </c:ser>
        <c:ser>
          <c:idx val="5"/>
          <c:order val="5"/>
          <c:tx>
            <c:strRef>
              <c:f>'Venue Data &amp; Chart'!$B$6</c:f>
            </c:strRef>
          </c:tx>
          <c:dLbls>
            <c:dLblPos val="ctr"/>
            <c:showLegendKey val="0"/>
            <c:showVal val="0"/>
            <c:showCatName val="0"/>
            <c:showSerName val="1"/>
            <c:showPercent val="0"/>
            <c:showBubbleSize val="0"/>
          </c:dLbls>
          <c:xVal>
            <c:strRef>
              <c:f>'Venue Data &amp; Chart'!$C$6</c:f>
            </c:strRef>
          </c:xVal>
          <c:yVal>
            <c:numRef>
              <c:f>'Venue Data &amp; Chart'!$D$6</c:f>
              <c:numCache/>
            </c:numRef>
          </c:yVal>
          <c:bubbleSize>
            <c:numLit>
              <c:ptCount val="1"/>
              <c:pt idx="0">
                <c:v>1</c:v>
              </c:pt>
            </c:numLit>
          </c:bubbleSize>
        </c:ser>
        <c:ser>
          <c:idx val="6"/>
          <c:order val="6"/>
          <c:tx>
            <c:strRef>
              <c:f>'Venue Data &amp; Chart'!$B$7</c:f>
            </c:strRef>
          </c:tx>
          <c:dLbls>
            <c:dLblPos val="ctr"/>
            <c:showLegendKey val="0"/>
            <c:showVal val="0"/>
            <c:showCatName val="0"/>
            <c:showSerName val="1"/>
            <c:showPercent val="0"/>
            <c:showBubbleSize val="0"/>
          </c:dLbls>
          <c:xVal>
            <c:strRef>
              <c:f>'Venue Data &amp; Chart'!$C$7</c:f>
            </c:strRef>
          </c:xVal>
          <c:yVal>
            <c:numRef>
              <c:f>'Venue Data &amp; Chart'!$D$7</c:f>
              <c:numCache/>
            </c:numRef>
          </c:yVal>
          <c:bubbleSize>
            <c:numLit>
              <c:ptCount val="1"/>
              <c:pt idx="0">
                <c:v>1</c:v>
              </c:pt>
            </c:numLit>
          </c:bubbleSize>
        </c:ser>
        <c:ser>
          <c:idx val="7"/>
          <c:order val="7"/>
          <c:tx>
            <c:strRef>
              <c:f>'Venue Data &amp; Chart'!$B$8</c:f>
            </c:strRef>
          </c:tx>
          <c:dLbls>
            <c:dLblPos val="ctr"/>
            <c:showLegendKey val="0"/>
            <c:showVal val="0"/>
            <c:showCatName val="0"/>
            <c:showSerName val="1"/>
            <c:showPercent val="0"/>
            <c:showBubbleSize val="0"/>
          </c:dLbls>
          <c:xVal>
            <c:strRef>
              <c:f>'Venue Data &amp; Chart'!$C$8</c:f>
            </c:strRef>
          </c:xVal>
          <c:yVal>
            <c:numRef>
              <c:f>'Venue Data &amp; Chart'!$D$8</c:f>
              <c:numCache/>
            </c:numRef>
          </c:yVal>
          <c:bubbleSize>
            <c:numLit>
              <c:ptCount val="1"/>
              <c:pt idx="0">
                <c:v>1</c:v>
              </c:pt>
            </c:numLit>
          </c:bubbleSize>
        </c:ser>
        <c:ser>
          <c:idx val="8"/>
          <c:order val="8"/>
          <c:tx>
            <c:strRef>
              <c:f>'Venue Data &amp; Chart'!$B$9</c:f>
            </c:strRef>
          </c:tx>
          <c:dLbls>
            <c:dLblPos val="ctr"/>
            <c:showLegendKey val="0"/>
            <c:showVal val="0"/>
            <c:showCatName val="0"/>
            <c:showSerName val="1"/>
            <c:showPercent val="0"/>
            <c:showBubbleSize val="0"/>
          </c:dLbls>
          <c:xVal>
            <c:strRef>
              <c:f>'Venue Data &amp; Chart'!$C$9</c:f>
            </c:strRef>
          </c:xVal>
          <c:yVal>
            <c:numRef>
              <c:f>'Venue Data &amp; Chart'!$D$9</c:f>
              <c:numCache/>
            </c:numRef>
          </c:yVal>
          <c:bubbleSize>
            <c:numLit>
              <c:ptCount val="1"/>
              <c:pt idx="0">
                <c:v>1</c:v>
              </c:pt>
            </c:numLit>
          </c:bubbleSize>
        </c:ser>
        <c:ser>
          <c:idx val="9"/>
          <c:order val="9"/>
          <c:tx>
            <c:strRef>
              <c:f>'Venue Data &amp; Chart'!$B$10</c:f>
            </c:strRef>
          </c:tx>
          <c:dLbls>
            <c:dLblPos val="ctr"/>
            <c:showLegendKey val="0"/>
            <c:showVal val="0"/>
            <c:showCatName val="0"/>
            <c:showSerName val="1"/>
            <c:showPercent val="0"/>
            <c:showBubbleSize val="0"/>
          </c:dLbls>
          <c:xVal>
            <c:strRef>
              <c:f>'Venue Data &amp; Chart'!$C$10</c:f>
            </c:strRef>
          </c:xVal>
          <c:yVal>
            <c:numRef>
              <c:f>'Venue Data &amp; Chart'!$D$10</c:f>
              <c:numCache/>
            </c:numRef>
          </c:yVal>
          <c:bubbleSize>
            <c:numLit>
              <c:ptCount val="1"/>
              <c:pt idx="0">
                <c:v>1</c:v>
              </c:pt>
            </c:numLit>
          </c:bubbleSize>
        </c:ser>
        <c:axId val="2063391901"/>
        <c:axId val="1396510137"/>
      </c:bubbleChart>
      <c:valAx>
        <c:axId val="2063391901"/>
        <c:scaling>
          <c:orientation val="minMax"/>
          <c:max val="7.0"/>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i="0" sz="1200">
                    <a:solidFill>
                      <a:srgbClr val="222222"/>
                    </a:solidFill>
                    <a:latin typeface="Roboto"/>
                  </a:defRPr>
                </a:pPr>
                <a:r>
                  <a:rPr b="0" i="0" sz="1200">
                    <a:solidFill>
                      <a:srgbClr val="222222"/>
                    </a:solidFill>
                    <a:latin typeface="Roboto"/>
                  </a:rPr>
                  <a:t>Number of papers</a:t>
                </a:r>
              </a:p>
            </c:rich>
          </c:tx>
          <c:overlay val="0"/>
        </c:title>
        <c:numFmt formatCode="General" sourceLinked="1"/>
        <c:majorTickMark val="none"/>
        <c:minorTickMark val="none"/>
        <c:tickLblPos val="nextTo"/>
        <c:spPr>
          <a:ln/>
        </c:spPr>
        <c:txPr>
          <a:bodyPr rot="0"/>
          <a:lstStyle/>
          <a:p>
            <a:pPr lvl="0">
              <a:defRPr b="0">
                <a:solidFill>
                  <a:srgbClr val="000000"/>
                </a:solidFill>
                <a:latin typeface="Roboto"/>
              </a:defRPr>
            </a:pPr>
          </a:p>
        </c:txPr>
        <c:crossAx val="1396510137"/>
      </c:valAx>
      <c:valAx>
        <c:axId val="1396510137"/>
        <c:scaling>
          <c:orientation val="minMax"/>
          <c:max val="50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i="0" sz="1200">
                    <a:solidFill>
                      <a:srgbClr val="222222"/>
                    </a:solidFill>
                    <a:latin typeface="Roboto"/>
                  </a:defRPr>
                </a:pPr>
                <a:r>
                  <a:rPr b="0" i="0" sz="1200">
                    <a:solidFill>
                      <a:srgbClr val="222222"/>
                    </a:solidFill>
                    <a:latin typeface="Roboto"/>
                  </a:rPr>
                  <a:t>Number of citations</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2063391901"/>
      </c:valAx>
    </c:plotArea>
    <c:legend>
      <c:legendPos val="tr"/>
      <c:overlay val="1"/>
      <c:txPr>
        <a:bodyPr/>
        <a:lstStyle/>
        <a:p>
          <a:pPr lvl="0">
            <a:defRPr b="0">
              <a:solidFill>
                <a:srgbClr val="000000"/>
              </a:solidFill>
              <a:latin typeface="Roboto"/>
            </a:defRPr>
          </a:pPr>
        </a:p>
      </c:txPr>
    </c:legend>
    <c:plotVisOnly val="0"/>
  </c:chart>
</c:chartSpace>
</file>

<file path=xl/charts/chart2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Publication Type</a:t>
            </a:r>
          </a:p>
        </c:rich>
      </c:tx>
      <c:overlay val="0"/>
    </c:title>
    <c:plotArea>
      <c:layout/>
      <c:barChart>
        <c:barDir val="col"/>
        <c:ser>
          <c:idx val="0"/>
          <c:order val="0"/>
          <c:spPr>
            <a:solidFill>
              <a:srgbClr val="666666"/>
            </a:solidFill>
            <a:ln cmpd="sng">
              <a:solidFill>
                <a:srgbClr val="000000"/>
              </a:solidFill>
            </a:ln>
          </c:spPr>
          <c:cat>
            <c:strRef>
              <c:f>'Charts-SM'!$B$3:$E$3</c:f>
            </c:strRef>
          </c:cat>
          <c:val>
            <c:numRef>
              <c:f>'Charts-SM'!$B$4:$E$4</c:f>
              <c:numCache/>
            </c:numRef>
          </c:val>
        </c:ser>
        <c:axId val="1147116389"/>
        <c:axId val="2009473674"/>
      </c:barChart>
      <c:catAx>
        <c:axId val="1147116389"/>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2009473674"/>
      </c:catAx>
      <c:valAx>
        <c:axId val="200947367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i="0" sz="1200">
                    <a:solidFill>
                      <a:srgbClr val="222222"/>
                    </a:solidFill>
                    <a:latin typeface="Roboto"/>
                  </a:defRPr>
                </a:pPr>
                <a:r>
                  <a:rPr b="0" i="0" sz="1200">
                    <a:solidFill>
                      <a:srgbClr val="222222"/>
                    </a:solidFill>
                    <a:latin typeface="Roboto"/>
                  </a:rPr>
                  <a:t>Number of papers</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147116389"/>
      </c:valAx>
    </c:plotArea>
    <c:plotVisOnly val="0"/>
  </c:chart>
  <c:spPr>
    <a:solidFill>
      <a:srgbClr val="FFFFFF"/>
    </a:solidFill>
  </c:spPr>
</c:chartSpace>
</file>

<file path=xl/charts/chart2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bar"/>
        <c:ser>
          <c:idx val="0"/>
          <c:order val="0"/>
          <c:spPr>
            <a:solidFill>
              <a:srgbClr val="666666"/>
            </a:solidFill>
            <a:ln cmpd="sng">
              <a:solidFill>
                <a:srgbClr val="000000"/>
              </a:solidFill>
            </a:ln>
          </c:spPr>
          <c:cat>
            <c:strRef>
              <c:f>'Charts-SM'!$A$64:$A$75</c:f>
            </c:strRef>
          </c:cat>
          <c:val>
            <c:numRef>
              <c:f>'Charts-SM'!$B$64:$B$75</c:f>
              <c:numCache/>
            </c:numRef>
          </c:val>
        </c:ser>
        <c:axId val="1476375954"/>
        <c:axId val="1643359578"/>
      </c:barChart>
      <c:catAx>
        <c:axId val="1476375954"/>
        <c:scaling>
          <c:orientation val="maxMin"/>
        </c:scaling>
        <c:delete val="0"/>
        <c:axPos val="l"/>
        <c:title>
          <c:tx>
            <c:rich>
              <a:bodyPr/>
              <a:lstStyle/>
              <a:p>
                <a:pPr lvl="0">
                  <a:defRPr b="0" i="0" sz="1200">
                    <a:solidFill>
                      <a:srgbClr val="222222"/>
                    </a:solidFill>
                    <a:latin typeface="Roboto"/>
                  </a:defRPr>
                </a:pPr>
                <a:r>
                  <a:rPr b="0" i="0" sz="1200">
                    <a:solidFill>
                      <a:srgbClr val="222222"/>
                    </a:solidFill>
                    <a:latin typeface="Roboto"/>
                  </a:rPr>
                  <a:t>Year</a:t>
                </a:r>
              </a:p>
            </c:rich>
          </c:tx>
          <c:overlay val="0"/>
        </c:title>
        <c:numFmt formatCode="General" sourceLinked="1"/>
        <c:majorTickMark val="none"/>
        <c:minorTickMark val="none"/>
        <c:spPr/>
        <c:txPr>
          <a:bodyPr/>
          <a:lstStyle/>
          <a:p>
            <a:pPr lvl="0">
              <a:defRPr b="0">
                <a:solidFill>
                  <a:srgbClr val="000000"/>
                </a:solidFill>
                <a:latin typeface="Roboto"/>
              </a:defRPr>
            </a:pPr>
          </a:p>
        </c:txPr>
        <c:crossAx val="1643359578"/>
      </c:catAx>
      <c:valAx>
        <c:axId val="1643359578"/>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i="0" sz="1200">
                    <a:solidFill>
                      <a:srgbClr val="222222"/>
                    </a:solidFill>
                    <a:latin typeface="Roboto"/>
                  </a:defRPr>
                </a:pPr>
                <a:r>
                  <a:rPr b="0" i="0" sz="1200">
                    <a:solidFill>
                      <a:srgbClr val="222222"/>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476375954"/>
        <c:crosses val="max"/>
      </c:valAx>
    </c:plotArea>
    <c:plotVisOnly val="0"/>
  </c:chart>
  <c:spPr>
    <a:solidFill>
      <a:srgbClr val="FFFFFF"/>
    </a:solidFill>
  </c:spPr>
</c:chartSpace>
</file>

<file path=xl/charts/chart2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Type of Paper - Contribution Facet</a:t>
            </a:r>
          </a:p>
        </c:rich>
      </c:tx>
      <c:overlay val="0"/>
    </c:title>
    <c:plotArea>
      <c:layout/>
      <c:barChart>
        <c:barDir val="bar"/>
        <c:ser>
          <c:idx val="0"/>
          <c:order val="0"/>
          <c:spPr>
            <a:solidFill>
              <a:srgbClr val="666666"/>
            </a:solidFill>
            <a:ln cmpd="sng">
              <a:solidFill>
                <a:srgbClr val="000000"/>
              </a:solidFill>
            </a:ln>
          </c:spPr>
          <c:cat>
            <c:strRef>
              <c:f>'Charts-SM'!$A$112:$A$117</c:f>
            </c:strRef>
          </c:cat>
          <c:val>
            <c:numRef>
              <c:f>'Charts-SM'!$B$112:$B$117</c:f>
              <c:numCache/>
            </c:numRef>
          </c:val>
        </c:ser>
        <c:axId val="968742056"/>
        <c:axId val="1873657706"/>
      </c:barChart>
      <c:catAx>
        <c:axId val="968742056"/>
        <c:scaling>
          <c:orientation val="maxMin"/>
        </c:scaling>
        <c:delete val="0"/>
        <c:axPos val="l"/>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1873657706"/>
      </c:catAx>
      <c:valAx>
        <c:axId val="1873657706"/>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i="0" sz="1200">
                    <a:solidFill>
                      <a:srgbClr val="222222"/>
                    </a:solidFill>
                    <a:latin typeface="Roboto"/>
                  </a:defRPr>
                </a:pPr>
                <a:r>
                  <a:rPr b="0" i="0" sz="1200">
                    <a:solidFill>
                      <a:srgbClr val="222222"/>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968742056"/>
        <c:crosses val="max"/>
      </c:valAx>
    </c:plotArea>
    <c:plotVisOnly val="0"/>
  </c:chart>
  <c:spPr>
    <a:solidFill>
      <a:srgbClr val="FFFFFF"/>
    </a:solidFill>
  </c:spPr>
</c:chartSpace>
</file>

<file path=xl/charts/chart3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Type of Paper - Research Facet</a:t>
            </a:r>
          </a:p>
        </c:rich>
      </c:tx>
      <c:overlay val="0"/>
    </c:title>
    <c:plotArea>
      <c:layout/>
      <c:barChart>
        <c:barDir val="bar"/>
        <c:ser>
          <c:idx val="0"/>
          <c:order val="0"/>
          <c:tx>
            <c:strRef>
              <c:f>'Charts-SM'!$B$225</c:f>
            </c:strRef>
          </c:tx>
          <c:spPr>
            <a:solidFill>
              <a:srgbClr val="000000"/>
            </a:solidFill>
            <a:ln cmpd="sng">
              <a:solidFill>
                <a:srgbClr val="000000"/>
              </a:solidFill>
            </a:ln>
          </c:spPr>
          <c:cat>
            <c:strRef>
              <c:f>'Charts-SM'!$A$226:$A$229</c:f>
            </c:strRef>
          </c:cat>
          <c:val>
            <c:numRef>
              <c:f>'Charts-SM'!$B$226:$B$229</c:f>
              <c:numCache/>
            </c:numRef>
          </c:val>
        </c:ser>
        <c:ser>
          <c:idx val="1"/>
          <c:order val="1"/>
          <c:tx>
            <c:strRef>
              <c:f>'Charts-SM'!$C$225</c:f>
            </c:strRef>
          </c:tx>
          <c:spPr>
            <a:solidFill>
              <a:srgbClr val="B7B7B7"/>
            </a:solidFill>
            <a:ln cmpd="sng">
              <a:solidFill>
                <a:srgbClr val="000000"/>
              </a:solidFill>
            </a:ln>
          </c:spPr>
          <c:cat>
            <c:strRef>
              <c:f>'Charts-SM'!$A$226:$A$229</c:f>
            </c:strRef>
          </c:cat>
          <c:val>
            <c:numRef>
              <c:f>'Charts-SM'!$C$226:$C$229</c:f>
              <c:numCache/>
            </c:numRef>
          </c:val>
        </c:ser>
        <c:axId val="766376242"/>
        <c:axId val="1030636637"/>
      </c:barChart>
      <c:catAx>
        <c:axId val="766376242"/>
        <c:scaling>
          <c:orientation val="maxMin"/>
        </c:scaling>
        <c:delete val="0"/>
        <c:axPos val="l"/>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1030636637"/>
      </c:catAx>
      <c:valAx>
        <c:axId val="1030636637"/>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i="0" sz="1200">
                    <a:solidFill>
                      <a:srgbClr val="222222"/>
                    </a:solidFill>
                    <a:latin typeface="Roboto"/>
                  </a:defRPr>
                </a:pPr>
                <a:r>
                  <a:rPr b="0" i="0" sz="1200">
                    <a:solidFill>
                      <a:srgbClr val="222222"/>
                    </a:solidFill>
                    <a:latin typeface="Roboto"/>
                  </a:rPr>
                  <a:t>Number of papers</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766376242"/>
        <c:crosses val="max"/>
      </c:valAx>
    </c:plotArea>
    <c:legend>
      <c:legendPos val="b"/>
      <c:overlay val="0"/>
      <c:txPr>
        <a:bodyPr/>
        <a:lstStyle/>
        <a:p>
          <a:pPr lvl="0">
            <a:defRPr b="0">
              <a:solidFill>
                <a:srgbClr val="000000"/>
              </a:solidFill>
              <a:latin typeface="Roboto"/>
            </a:defRPr>
          </a:pPr>
        </a:p>
      </c:txPr>
    </c:legend>
    <c:plotVisOnly val="0"/>
  </c:chart>
  <c:spPr>
    <a:solidFill>
      <a:srgbClr val="FFFFFF"/>
    </a:solidFill>
  </c:spPr>
</c:chartSpace>
</file>

<file path=xl/charts/chart3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Focus Area of Paper</a:t>
            </a:r>
          </a:p>
        </c:rich>
      </c:tx>
      <c:overlay val="0"/>
    </c:title>
    <c:plotArea>
      <c:layout/>
      <c:barChart>
        <c:barDir val="col"/>
        <c:ser>
          <c:idx val="0"/>
          <c:order val="0"/>
          <c:spPr>
            <a:solidFill>
              <a:srgbClr val="666666"/>
            </a:solidFill>
            <a:ln cmpd="sng">
              <a:solidFill>
                <a:srgbClr val="000000"/>
              </a:solidFill>
            </a:ln>
          </c:spPr>
          <c:cat>
            <c:strRef>
              <c:f>'Charts-SM'!$A$313:$A$315</c:f>
            </c:strRef>
          </c:cat>
          <c:val>
            <c:numRef>
              <c:f>'Charts-SM'!$B$313:$B$315</c:f>
              <c:numCache/>
            </c:numRef>
          </c:val>
        </c:ser>
        <c:axId val="1880399328"/>
        <c:axId val="1981792729"/>
      </c:barChart>
      <c:catAx>
        <c:axId val="1880399328"/>
        <c:scaling>
          <c:orientation val="minMax"/>
        </c:scaling>
        <c:delete val="0"/>
        <c:axPos val="b"/>
        <c:title>
          <c:tx>
            <c:rich>
              <a:bodyPr/>
              <a:lstStyle/>
              <a:p>
                <a:pPr lvl="0">
                  <a:defRPr b="0" i="0" sz="1200">
                    <a:solidFill>
                      <a:srgbClr val="222222"/>
                    </a:solidFill>
                    <a:latin typeface="Roboto"/>
                  </a:defRPr>
                </a:pPr>
                <a:r>
                  <a:rPr b="0" i="0" sz="1200">
                    <a:solidFill>
                      <a:srgbClr val="222222"/>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1981792729"/>
      </c:catAx>
      <c:valAx>
        <c:axId val="198179272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i="0" sz="1200">
                    <a:solidFill>
                      <a:srgbClr val="222222"/>
                    </a:solidFill>
                    <a:latin typeface="Roboto"/>
                  </a:defRPr>
                </a:pPr>
                <a:r>
                  <a:rPr b="0" i="0" sz="1200">
                    <a:solidFill>
                      <a:srgbClr val="222222"/>
                    </a:solidFill>
                    <a:latin typeface="Roboto"/>
                  </a:rPr>
                  <a:t>Number of papers</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880399328"/>
      </c:valAx>
    </c:plotArea>
    <c:plotVisOnly val="0"/>
  </c:chart>
  <c:spPr>
    <a:solidFill>
      <a:srgbClr val="FFFFFF"/>
    </a:solidFill>
  </c:spPr>
</c:chartSpace>
</file>

<file path=xl/charts/chart3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Type of Testing Activity </a:t>
            </a:r>
          </a:p>
        </c:rich>
      </c:tx>
      <c:overlay val="0"/>
    </c:title>
    <c:plotArea>
      <c:layout/>
      <c:barChart>
        <c:barDir val="bar"/>
        <c:ser>
          <c:idx val="0"/>
          <c:order val="0"/>
          <c:spPr>
            <a:solidFill>
              <a:srgbClr val="666666"/>
            </a:solidFill>
            <a:ln cmpd="sng">
              <a:solidFill>
                <a:srgbClr val="000000"/>
              </a:solidFill>
            </a:ln>
          </c:spPr>
          <c:cat>
            <c:strRef>
              <c:f>'Charts-SM'!$A$335:$A$340</c:f>
            </c:strRef>
          </c:cat>
          <c:val>
            <c:numRef>
              <c:f>'Charts-SM'!$B$335:$B$340</c:f>
              <c:numCache/>
            </c:numRef>
          </c:val>
        </c:ser>
        <c:axId val="1736246038"/>
        <c:axId val="1471056375"/>
      </c:barChart>
      <c:catAx>
        <c:axId val="1736246038"/>
        <c:scaling>
          <c:orientation val="maxMin"/>
        </c:scaling>
        <c:delete val="0"/>
        <c:axPos val="l"/>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1471056375"/>
      </c:catAx>
      <c:valAx>
        <c:axId val="1471056375"/>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i="0" sz="1200">
                    <a:solidFill>
                      <a:srgbClr val="222222"/>
                    </a:solidFill>
                    <a:latin typeface="Roboto"/>
                  </a:defRPr>
                </a:pPr>
                <a:r>
                  <a:rPr b="0" i="0" sz="1200">
                    <a:solidFill>
                      <a:srgbClr val="222222"/>
                    </a:solidFill>
                    <a:latin typeface="Roboto"/>
                  </a:rPr>
                  <a:t>Number of papers</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736246038"/>
        <c:crosses val="max"/>
      </c:valAx>
    </c:plotArea>
    <c:plotVisOnly val="0"/>
  </c:chart>
  <c:spPr>
    <a:solidFill>
      <a:srgbClr val="FFFFFF"/>
    </a:solidFill>
  </c:spPr>
</c:chartSpace>
</file>

<file path=xl/charts/chart3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Test Location</a:t>
            </a:r>
          </a:p>
        </c:rich>
      </c:tx>
      <c:overlay val="0"/>
    </c:title>
    <c:plotArea>
      <c:layout/>
      <c:barChart>
        <c:barDir val="col"/>
        <c:ser>
          <c:idx val="0"/>
          <c:order val="0"/>
          <c:spPr>
            <a:solidFill>
              <a:srgbClr val="666666"/>
            </a:solidFill>
            <a:ln cmpd="sng">
              <a:solidFill>
                <a:srgbClr val="000000"/>
              </a:solidFill>
            </a:ln>
          </c:spPr>
          <c:cat>
            <c:strRef>
              <c:f>'Charts-SM'!$A$358:$A$360</c:f>
            </c:strRef>
          </c:cat>
          <c:val>
            <c:numRef>
              <c:f>'Charts-SM'!$B$358:$B$360</c:f>
              <c:numCache/>
            </c:numRef>
          </c:val>
        </c:ser>
        <c:axId val="1958824875"/>
        <c:axId val="824695595"/>
      </c:barChart>
      <c:catAx>
        <c:axId val="1958824875"/>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824695595"/>
      </c:catAx>
      <c:valAx>
        <c:axId val="824695595"/>
        <c:scaling>
          <c:orientation val="minMax"/>
          <c:max val="55.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i="0" sz="1200">
                    <a:solidFill>
                      <a:srgbClr val="222222"/>
                    </a:solidFill>
                    <a:latin typeface="Roboto"/>
                  </a:defRPr>
                </a:pPr>
                <a:r>
                  <a:rPr b="0" i="0" sz="1200">
                    <a:solidFill>
                      <a:srgbClr val="222222"/>
                    </a:solidFill>
                    <a:latin typeface="Roboto"/>
                  </a:rPr>
                  <a:t>Number of papers</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958824875"/>
      </c:valAx>
    </c:plotArea>
    <c:plotVisOnly val="0"/>
  </c:chart>
  <c:spPr>
    <a:solidFill>
      <a:srgbClr val="FFFFFF"/>
    </a:solidFill>
  </c:spPr>
</c:chartSpace>
</file>

<file path=xl/charts/chart3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Test Level</a:t>
            </a:r>
          </a:p>
        </c:rich>
      </c:tx>
      <c:overlay val="0"/>
    </c:title>
    <c:plotArea>
      <c:layout/>
      <c:barChart>
        <c:barDir val="col"/>
        <c:ser>
          <c:idx val="0"/>
          <c:order val="0"/>
          <c:spPr>
            <a:solidFill>
              <a:srgbClr val="666666"/>
            </a:solidFill>
            <a:ln cmpd="sng">
              <a:solidFill>
                <a:srgbClr val="000000"/>
              </a:solidFill>
            </a:ln>
          </c:spPr>
          <c:cat>
            <c:strRef>
              <c:f>'Charts-SM'!$A$408:$A$410</c:f>
            </c:strRef>
          </c:cat>
          <c:val>
            <c:numRef>
              <c:f>'Charts-SM'!$B$408:$B$410</c:f>
              <c:numCache/>
            </c:numRef>
          </c:val>
        </c:ser>
        <c:axId val="1320772872"/>
        <c:axId val="583233077"/>
      </c:barChart>
      <c:catAx>
        <c:axId val="1320772872"/>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583233077"/>
      </c:catAx>
      <c:valAx>
        <c:axId val="583233077"/>
        <c:scaling>
          <c:orientation val="minMax"/>
          <c:max val="45.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i="0" sz="1200">
                    <a:solidFill>
                      <a:srgbClr val="222222"/>
                    </a:solidFill>
                    <a:latin typeface="Roboto"/>
                  </a:defRPr>
                </a:pPr>
                <a:r>
                  <a:rPr b="0" i="0" sz="1200">
                    <a:solidFill>
                      <a:srgbClr val="222222"/>
                    </a:solidFill>
                    <a:latin typeface="Roboto"/>
                  </a:rPr>
                  <a:t>Number of papers</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320772872"/>
      </c:valAx>
    </c:plotArea>
    <c:plotVisOnly val="0"/>
  </c:chart>
  <c:spPr>
    <a:solidFill>
      <a:srgbClr val="FFFFFF"/>
    </a:solidFill>
  </c:spPr>
</c:chartSpace>
</file>

<file path=xl/charts/chart3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Source of information to derive Test artifacts (e.g., test cases)</a:t>
            </a:r>
          </a:p>
        </c:rich>
      </c:tx>
      <c:overlay val="0"/>
    </c:title>
    <c:plotArea>
      <c:layout/>
      <c:barChart>
        <c:barDir val="bar"/>
        <c:ser>
          <c:idx val="0"/>
          <c:order val="0"/>
          <c:spPr>
            <a:solidFill>
              <a:srgbClr val="666666"/>
            </a:solidFill>
            <a:ln cmpd="sng">
              <a:solidFill>
                <a:srgbClr val="000000"/>
              </a:solidFill>
            </a:ln>
          </c:spPr>
          <c:cat>
            <c:strRef>
              <c:f>'Charts-SM'!$A$432:$A$439</c:f>
            </c:strRef>
          </c:cat>
          <c:val>
            <c:numRef>
              <c:f>'Charts-SM'!$B$432:$B$439</c:f>
              <c:numCache/>
            </c:numRef>
          </c:val>
        </c:ser>
        <c:axId val="1159109995"/>
        <c:axId val="628584947"/>
      </c:barChart>
      <c:catAx>
        <c:axId val="1159109995"/>
        <c:scaling>
          <c:orientation val="maxMin"/>
        </c:scaling>
        <c:delete val="0"/>
        <c:axPos val="l"/>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628584947"/>
      </c:catAx>
      <c:valAx>
        <c:axId val="628584947"/>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i="0" sz="1200">
                    <a:solidFill>
                      <a:srgbClr val="222222"/>
                    </a:solidFill>
                    <a:latin typeface="Roboto"/>
                  </a:defRPr>
                </a:pPr>
                <a:r>
                  <a:rPr b="0" i="0" sz="1200">
                    <a:solidFill>
                      <a:srgbClr val="222222"/>
                    </a:solidFill>
                    <a:latin typeface="Roboto"/>
                  </a:rPr>
                  <a:t>Number of papers</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159109995"/>
        <c:crosses val="max"/>
      </c:valAx>
    </c:plotArea>
    <c:plotVisOnly val="0"/>
  </c:chart>
  <c:spPr>
    <a:solidFill>
      <a:srgbClr val="FFFFFF"/>
    </a:solidFill>
  </c:spPr>
</c:chartSpace>
</file>

<file path=xl/charts/chart3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Type of test artifact generated</a:t>
            </a:r>
          </a:p>
        </c:rich>
      </c:tx>
      <c:overlay val="0"/>
    </c:title>
    <c:plotArea>
      <c:layout/>
      <c:barChart>
        <c:barDir val="bar"/>
        <c:ser>
          <c:idx val="0"/>
          <c:order val="0"/>
          <c:spPr>
            <a:solidFill>
              <a:srgbClr val="666666"/>
            </a:solidFill>
            <a:ln cmpd="sng">
              <a:solidFill>
                <a:srgbClr val="000000"/>
              </a:solidFill>
            </a:ln>
          </c:spPr>
          <c:cat>
            <c:strRef>
              <c:f>'Charts-SM'!$A$491:$A$495</c:f>
            </c:strRef>
          </c:cat>
          <c:val>
            <c:numRef>
              <c:f>'Charts-SM'!$B$491:$B$495</c:f>
              <c:numCache/>
            </c:numRef>
          </c:val>
        </c:ser>
        <c:axId val="1573144391"/>
        <c:axId val="1219352630"/>
      </c:barChart>
      <c:catAx>
        <c:axId val="1573144391"/>
        <c:scaling>
          <c:orientation val="maxMin"/>
        </c:scaling>
        <c:delete val="0"/>
        <c:axPos val="l"/>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1219352630"/>
      </c:catAx>
      <c:valAx>
        <c:axId val="1219352630"/>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i="0" sz="1200">
                    <a:solidFill>
                      <a:srgbClr val="222222"/>
                    </a:solidFill>
                    <a:latin typeface="Roboto"/>
                  </a:defRPr>
                </a:pPr>
                <a:r>
                  <a:rPr b="0" i="0" sz="1200">
                    <a:solidFill>
                      <a:srgbClr val="222222"/>
                    </a:solidFill>
                    <a:latin typeface="Roboto"/>
                  </a:rPr>
                  <a:t>Number of papers</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573144391"/>
        <c:crosses val="max"/>
      </c:valAx>
    </c:plotArea>
    <c:plotVisOnly val="0"/>
  </c:chart>
  <c:spPr>
    <a:solidFill>
      <a:srgbClr val="FFFFFF"/>
    </a:solidFill>
  </c:spPr>
</c:chartSpace>
</file>

<file path=xl/charts/chart3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Client-tier Web Technology</a:t>
            </a:r>
          </a:p>
        </c:rich>
      </c:tx>
      <c:overlay val="0"/>
    </c:title>
    <c:plotArea>
      <c:layout/>
      <c:barChart>
        <c:barDir val="bar"/>
        <c:ser>
          <c:idx val="0"/>
          <c:order val="0"/>
          <c:spPr>
            <a:solidFill>
              <a:srgbClr val="666666"/>
            </a:solidFill>
            <a:ln cmpd="sng">
              <a:solidFill>
                <a:srgbClr val="000000"/>
              </a:solidFill>
            </a:ln>
          </c:spPr>
          <c:cat>
            <c:strRef>
              <c:f>'Charts-SM'!$A$605:$A$610</c:f>
            </c:strRef>
          </c:cat>
          <c:val>
            <c:numRef>
              <c:f>'Charts-SM'!$B$605:$B$610</c:f>
              <c:numCache/>
            </c:numRef>
          </c:val>
        </c:ser>
        <c:axId val="1171915560"/>
        <c:axId val="1533366005"/>
      </c:barChart>
      <c:catAx>
        <c:axId val="1171915560"/>
        <c:scaling>
          <c:orientation val="maxMin"/>
        </c:scaling>
        <c:delete val="0"/>
        <c:axPos val="l"/>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1533366005"/>
      </c:catAx>
      <c:valAx>
        <c:axId val="1533366005"/>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i="0" sz="1200">
                    <a:solidFill>
                      <a:srgbClr val="222222"/>
                    </a:solidFill>
                    <a:latin typeface="Roboto"/>
                  </a:defRPr>
                </a:pPr>
                <a:r>
                  <a:rPr b="0" i="0" sz="1200">
                    <a:solidFill>
                      <a:srgbClr val="222222"/>
                    </a:solidFill>
                    <a:latin typeface="Roboto"/>
                  </a:rPr>
                  <a:t>Number of papers</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171915560"/>
        <c:crosses val="max"/>
      </c:valAx>
    </c:plotArea>
    <c:plotVisOnly val="0"/>
  </c:chart>
  <c:spPr>
    <a:solidFill>
      <a:srgbClr val="FFFFFF"/>
    </a:solidFill>
  </c:spPr>
</c:chartSpace>
</file>

<file path=xl/charts/chart3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Type of the Evaluation Method</a:t>
            </a:r>
          </a:p>
        </c:rich>
      </c:tx>
      <c:overlay val="0"/>
    </c:title>
    <c:plotArea>
      <c:layout/>
      <c:barChart>
        <c:barDir val="bar"/>
        <c:ser>
          <c:idx val="0"/>
          <c:order val="0"/>
          <c:spPr>
            <a:solidFill>
              <a:srgbClr val="666666"/>
            </a:solidFill>
            <a:ln cmpd="sng">
              <a:solidFill>
                <a:srgbClr val="000000"/>
              </a:solidFill>
            </a:ln>
          </c:spPr>
          <c:cat>
            <c:strRef>
              <c:f>'Charts-SM'!$A$530:$A$536</c:f>
            </c:strRef>
          </c:cat>
          <c:val>
            <c:numRef>
              <c:f>'Charts-SM'!$B$530:$B$536</c:f>
              <c:numCache/>
            </c:numRef>
          </c:val>
        </c:ser>
        <c:axId val="1582994144"/>
        <c:axId val="184493475"/>
      </c:barChart>
      <c:catAx>
        <c:axId val="1582994144"/>
        <c:scaling>
          <c:orientation val="maxMin"/>
        </c:scaling>
        <c:delete val="0"/>
        <c:axPos val="l"/>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184493475"/>
      </c:catAx>
      <c:valAx>
        <c:axId val="184493475"/>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i="0" sz="1200">
                    <a:solidFill>
                      <a:srgbClr val="222222"/>
                    </a:solidFill>
                    <a:latin typeface="Roboto"/>
                  </a:defRPr>
                </a:pPr>
                <a:r>
                  <a:rPr b="0" i="0" sz="1200">
                    <a:solidFill>
                      <a:srgbClr val="222222"/>
                    </a:solidFill>
                    <a:latin typeface="Roboto"/>
                  </a:rPr>
                  <a:t>Number of papers</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582994144"/>
        <c:crosses val="max"/>
      </c:valAx>
    </c:plotArea>
    <c:plotVisOnly val="0"/>
  </c:chart>
  <c:spPr>
    <a:solidFill>
      <a:srgbClr val="FFFFFF"/>
    </a:solidFill>
  </c:spPr>
</c:chartSpace>
</file>

<file path=xl/charts/chart3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Types of web software SUTs</a:t>
            </a:r>
          </a:p>
        </c:rich>
      </c:tx>
      <c:overlay val="0"/>
    </c:title>
    <c:plotArea>
      <c:layout>
        <c:manualLayout>
          <c:xMode val="edge"/>
          <c:yMode val="edge"/>
          <c:x val="0.34923000000000004"/>
          <c:y val="0.19171"/>
          <c:w val="0.46462000000000003"/>
          <c:h val="0.61917"/>
        </c:manualLayout>
      </c:layout>
      <c:barChart>
        <c:barDir val="bar"/>
        <c:ser>
          <c:idx val="0"/>
          <c:order val="0"/>
          <c:spPr>
            <a:solidFill>
              <a:srgbClr val="666666"/>
            </a:solidFill>
            <a:ln cmpd="sng">
              <a:solidFill>
                <a:srgbClr val="000000"/>
              </a:solidFill>
            </a:ln>
          </c:spPr>
          <c:cat>
            <c:strRef>
              <c:f>'Charts-SM'!$A$662:$A$664</c:f>
            </c:strRef>
          </c:cat>
          <c:val>
            <c:numRef>
              <c:f>'Charts-SM'!$B$662:$B$664</c:f>
              <c:numCache/>
            </c:numRef>
          </c:val>
        </c:ser>
        <c:axId val="2135855367"/>
        <c:axId val="853584830"/>
      </c:barChart>
      <c:catAx>
        <c:axId val="2135855367"/>
        <c:scaling>
          <c:orientation val="maxMin"/>
        </c:scaling>
        <c:delete val="0"/>
        <c:axPos val="l"/>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853584830"/>
      </c:catAx>
      <c:valAx>
        <c:axId val="853584830"/>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i="0" sz="1200">
                    <a:solidFill>
                      <a:srgbClr val="222222"/>
                    </a:solidFill>
                    <a:latin typeface="Roboto"/>
                  </a:defRPr>
                </a:pPr>
                <a:r>
                  <a:rPr b="0" i="0" sz="1200">
                    <a:solidFill>
                      <a:srgbClr val="222222"/>
                    </a:solidFill>
                    <a:latin typeface="Roboto"/>
                  </a:rPr>
                  <a:t>Number of papers</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2135855367"/>
        <c:crosses val="max"/>
      </c:valAx>
    </c:plotArea>
    <c:plotVisOnly val="0"/>
  </c:chart>
  <c:spPr>
    <a:solidFill>
      <a:srgbClr val="FFFFFF"/>
    </a:solidFill>
  </c:spPr>
</c:chartSpace>
</file>

<file path=xl/charts/chart4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Web-server-tier Web Technology</a:t>
            </a:r>
          </a:p>
        </c:rich>
      </c:tx>
      <c:overlay val="0"/>
    </c:title>
    <c:plotArea>
      <c:layout/>
      <c:barChart>
        <c:barDir val="bar"/>
        <c:ser>
          <c:idx val="0"/>
          <c:order val="0"/>
          <c:spPr>
            <a:solidFill>
              <a:srgbClr val="666666"/>
            </a:solidFill>
            <a:ln cmpd="sng">
              <a:solidFill>
                <a:srgbClr val="000000"/>
              </a:solidFill>
            </a:ln>
          </c:spPr>
          <c:cat>
            <c:strRef>
              <c:f>'Charts-SM'!$A$625:$A$631</c:f>
            </c:strRef>
          </c:cat>
          <c:val>
            <c:numRef>
              <c:f>'Charts-SM'!$B$625:$B$631</c:f>
              <c:numCache/>
            </c:numRef>
          </c:val>
        </c:ser>
        <c:axId val="1883132649"/>
        <c:axId val="1683174285"/>
      </c:barChart>
      <c:catAx>
        <c:axId val="1883132649"/>
        <c:scaling>
          <c:orientation val="maxMin"/>
        </c:scaling>
        <c:delete val="0"/>
        <c:axPos val="l"/>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1683174285"/>
      </c:catAx>
      <c:valAx>
        <c:axId val="1683174285"/>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i="0" sz="1200">
                    <a:solidFill>
                      <a:srgbClr val="222222"/>
                    </a:solidFill>
                    <a:latin typeface="Roboto"/>
                  </a:defRPr>
                </a:pPr>
                <a:r>
                  <a:rPr b="0" i="0" sz="1200">
                    <a:solidFill>
                      <a:srgbClr val="222222"/>
                    </a:solidFill>
                    <a:latin typeface="Roboto"/>
                  </a:rPr>
                  <a:t>Number of papers</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883132649"/>
        <c:crosses val="max"/>
      </c:valAx>
    </c:plotArea>
    <c:plotVisOnly val="0"/>
  </c:chart>
  <c:spPr>
    <a:solidFill>
      <a:srgbClr val="FFFFFF"/>
    </a:solidFill>
  </c:spPr>
</c:chartSpace>
</file>

<file path=xl/charts/chart4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Top Countries (based on author affiliations)</a:t>
            </a:r>
          </a:p>
        </c:rich>
      </c:tx>
      <c:overlay val="0"/>
    </c:title>
    <c:plotArea>
      <c:layout/>
      <c:barChart>
        <c:barDir val="bar"/>
        <c:ser>
          <c:idx val="0"/>
          <c:order val="0"/>
          <c:spPr>
            <a:solidFill>
              <a:srgbClr val="666666"/>
            </a:solidFill>
            <a:ln cmpd="sng">
              <a:solidFill>
                <a:srgbClr val="000000"/>
              </a:solidFill>
            </a:ln>
          </c:spPr>
          <c:cat>
            <c:strRef>
              <c:f>'Charts-SM'!$A$83:$A$99</c:f>
            </c:strRef>
          </c:cat>
          <c:val>
            <c:numRef>
              <c:f>'Charts-SM'!$B$83:$B$99</c:f>
              <c:numCache/>
            </c:numRef>
          </c:val>
        </c:ser>
        <c:axId val="1050923280"/>
        <c:axId val="1063513387"/>
      </c:barChart>
      <c:catAx>
        <c:axId val="1050923280"/>
        <c:scaling>
          <c:orientation val="maxMin"/>
        </c:scaling>
        <c:delete val="0"/>
        <c:axPos val="l"/>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1063513387"/>
      </c:catAx>
      <c:valAx>
        <c:axId val="1063513387"/>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i="0" sz="1200">
                    <a:solidFill>
                      <a:srgbClr val="222222"/>
                    </a:solidFill>
                    <a:latin typeface="Roboto"/>
                  </a:defRPr>
                </a:pPr>
                <a:r>
                  <a:rPr b="0" i="0" sz="1200">
                    <a:solidFill>
                      <a:srgbClr val="222222"/>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050923280"/>
        <c:crosses val="max"/>
      </c:valAx>
    </c:plotArea>
    <c:plotVisOnly val="0"/>
  </c:chart>
  <c:spPr>
    <a:solidFill>
      <a:srgbClr val="FFFFFF"/>
    </a:solidFill>
  </c:spPr>
</c:chartSpace>
</file>

<file path=xl/charts/chart4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SM on web application testing</a:t>
            </a:r>
          </a:p>
        </c:rich>
      </c:tx>
      <c:overlay val="0"/>
    </c:title>
    <c:plotArea>
      <c:layout/>
      <c:scatterChart>
        <c:scatterStyle val="lineMarker"/>
        <c:varyColors val="0"/>
        <c:ser>
          <c:idx val="0"/>
          <c:order val="0"/>
          <c:spPr>
            <a:ln>
              <a:noFill/>
            </a:ln>
          </c:spPr>
          <c:marker>
            <c:symbol val="circle"/>
            <c:size val="7"/>
            <c:spPr>
              <a:solidFill>
                <a:srgbClr val="3366CC"/>
              </a:solidFill>
              <a:ln cmpd="sng">
                <a:solidFill>
                  <a:srgbClr val="3366CC"/>
                </a:solidFill>
              </a:ln>
            </c:spPr>
          </c:marker>
          <c:xVal>
            <c:numRef>
              <c:f>'SM Repository-Feb 2013 (do not '!$AF$3:$AF$81</c:f>
            </c:numRef>
          </c:xVal>
          <c:yVal>
            <c:numRef>
              <c:f>'SM Repository-Feb 2013 (do not '!$EF$3:$EF$81</c:f>
              <c:numCache/>
            </c:numRef>
          </c:yVal>
        </c:ser>
        <c:dLbls>
          <c:showLegendKey val="0"/>
          <c:showVal val="0"/>
          <c:showCatName val="0"/>
          <c:showSerName val="0"/>
          <c:showPercent val="0"/>
          <c:showBubbleSize val="0"/>
        </c:dLbls>
        <c:axId val="2109126834"/>
        <c:axId val="1328858238"/>
      </c:scatterChart>
      <c:valAx>
        <c:axId val="2109126834"/>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i="0" sz="1200">
                    <a:solidFill>
                      <a:srgbClr val="222222"/>
                    </a:solidFill>
                    <a:latin typeface="Roboto"/>
                  </a:defRPr>
                </a:pPr>
                <a:r>
                  <a:rPr b="0" i="0" sz="1200">
                    <a:solidFill>
                      <a:srgbClr val="222222"/>
                    </a:solidFill>
                    <a:latin typeface="Roboto"/>
                  </a:rPr>
                  <a:t>Study's year of publication</a:t>
                </a:r>
              </a:p>
            </c:rich>
          </c:tx>
          <c:overlay val="0"/>
        </c:title>
        <c:numFmt formatCode="General" sourceLinked="0"/>
        <c:majorTickMark val="none"/>
        <c:minorTickMark val="none"/>
        <c:tickLblPos val="nextTo"/>
        <c:spPr>
          <a:ln/>
        </c:spPr>
        <c:txPr>
          <a:bodyPr/>
          <a:lstStyle/>
          <a:p>
            <a:pPr lvl="0">
              <a:defRPr b="0">
                <a:solidFill>
                  <a:srgbClr val="000000"/>
                </a:solidFill>
                <a:latin typeface="Roboto"/>
              </a:defRPr>
            </a:pPr>
          </a:p>
        </c:txPr>
        <c:crossAx val="1328858238"/>
      </c:valAx>
      <c:valAx>
        <c:axId val="132885823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i="0" sz="1200">
                    <a:solidFill>
                      <a:srgbClr val="222222"/>
                    </a:solidFill>
                    <a:latin typeface="Roboto"/>
                  </a:defRPr>
                </a:pPr>
                <a:r>
                  <a:rPr b="0" i="0" sz="1200">
                    <a:solidFill>
                      <a:srgbClr val="222222"/>
                    </a:solidFill>
                    <a:latin typeface="Roboto"/>
                  </a:rPr>
                  <a:t>LOC size of SUTs used in the study</a:t>
                </a:r>
              </a:p>
            </c:rich>
          </c:tx>
          <c:overlay val="0"/>
        </c:title>
        <c:numFmt formatCode="General" sourceLinked="0"/>
        <c:majorTickMark val="none"/>
        <c:minorTickMark val="none"/>
        <c:tickLblPos val="nextTo"/>
        <c:spPr>
          <a:ln/>
        </c:spPr>
        <c:txPr>
          <a:bodyPr/>
          <a:lstStyle/>
          <a:p>
            <a:pPr lvl="0">
              <a:defRPr b="0">
                <a:solidFill>
                  <a:srgbClr val="000000"/>
                </a:solidFill>
                <a:latin typeface="Roboto"/>
              </a:defRPr>
            </a:pPr>
          </a:p>
        </c:txPr>
        <c:crossAx val="2109126834"/>
      </c:valAx>
    </c:plotArea>
    <c:plotVisOnly val="0"/>
  </c:chart>
</c:chartSpace>
</file>

<file path=xl/charts/chart4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Techniques used</a:t>
            </a:r>
          </a:p>
        </c:rich>
      </c:tx>
      <c:overlay val="0"/>
    </c:title>
    <c:plotArea>
      <c:layout/>
      <c:barChart>
        <c:barDir val="bar"/>
        <c:ser>
          <c:idx val="0"/>
          <c:order val="0"/>
          <c:spPr>
            <a:solidFill>
              <a:srgbClr val="666666"/>
            </a:solidFill>
            <a:ln cmpd="sng">
              <a:solidFill>
                <a:srgbClr val="000000"/>
              </a:solidFill>
            </a:ln>
          </c:spPr>
          <c:cat>
            <c:strRef>
              <c:f>'Charts-SM'!$A$460:$A$470</c:f>
            </c:strRef>
          </c:cat>
          <c:val>
            <c:numRef>
              <c:f>'Charts-SM'!$B$460:$B$470</c:f>
              <c:numCache/>
            </c:numRef>
          </c:val>
        </c:ser>
        <c:axId val="574943258"/>
        <c:axId val="1019737273"/>
      </c:barChart>
      <c:catAx>
        <c:axId val="574943258"/>
        <c:scaling>
          <c:orientation val="maxMin"/>
        </c:scaling>
        <c:delete val="0"/>
        <c:axPos val="l"/>
        <c:title>
          <c:tx>
            <c:rich>
              <a:bodyPr/>
              <a:lstStyle/>
              <a:p>
                <a:pPr lvl="0">
                  <a:defRPr b="0" i="1" sz="1400">
                    <a:solidFill>
                      <a:srgbClr val="222222"/>
                    </a:solidFill>
                    <a:latin typeface="Roboto"/>
                  </a:defRPr>
                </a:pPr>
                <a:r>
                  <a:rPr b="0" i="1" sz="1400">
                    <a:solidFill>
                      <a:srgbClr val="222222"/>
                    </a:solidFill>
                    <a:latin typeface="Roboto"/>
                  </a:rPr>
                  <a:t/>
                </a:r>
              </a:p>
            </c:rich>
          </c:tx>
          <c:overlay val="0"/>
        </c:title>
        <c:numFmt formatCode="General" sourceLinked="1"/>
        <c:majorTickMark val="none"/>
        <c:minorTickMark val="none"/>
        <c:spPr/>
        <c:txPr>
          <a:bodyPr/>
          <a:lstStyle/>
          <a:p>
            <a:pPr lvl="0">
              <a:defRPr b="0" sz="1600">
                <a:solidFill>
                  <a:srgbClr val="222222"/>
                </a:solidFill>
                <a:latin typeface="Roboto"/>
              </a:defRPr>
            </a:pPr>
          </a:p>
        </c:txPr>
        <c:crossAx val="1019737273"/>
      </c:catAx>
      <c:valAx>
        <c:axId val="1019737273"/>
        <c:scaling>
          <c:orientation val="minMax"/>
          <c:max val="25.0"/>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i="0" sz="1400">
                    <a:solidFill>
                      <a:srgbClr val="222222"/>
                    </a:solidFill>
                    <a:latin typeface="Roboto"/>
                  </a:defRPr>
                </a:pPr>
                <a:r>
                  <a:rPr b="0" i="0" sz="1400">
                    <a:solidFill>
                      <a:srgbClr val="222222"/>
                    </a:solidFill>
                    <a:latin typeface="Roboto"/>
                  </a:rPr>
                  <a:t>Number of papers</a:t>
                </a:r>
              </a:p>
            </c:rich>
          </c:tx>
          <c:overlay val="0"/>
        </c:title>
        <c:numFmt formatCode="General" sourceLinked="1"/>
        <c:majorTickMark val="none"/>
        <c:minorTickMark val="none"/>
        <c:tickLblPos val="nextTo"/>
        <c:spPr>
          <a:ln/>
        </c:spPr>
        <c:txPr>
          <a:bodyPr/>
          <a:lstStyle/>
          <a:p>
            <a:pPr lvl="0">
              <a:defRPr b="0" sz="1400">
                <a:solidFill>
                  <a:srgbClr val="222222"/>
                </a:solidFill>
                <a:latin typeface="Roboto"/>
              </a:defRPr>
            </a:pPr>
          </a:p>
        </c:txPr>
        <c:crossAx val="574943258"/>
        <c:crosses val="max"/>
      </c:valAx>
    </c:plotArea>
    <c:plotVisOnly val="0"/>
  </c:chart>
</c:chartSpace>
</file>

<file path=xl/charts/chart4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rgbClr val="666666"/>
            </a:solidFill>
            <a:ln cmpd="sng">
              <a:solidFill>
                <a:srgbClr val="000000"/>
              </a:solidFill>
            </a:ln>
          </c:spPr>
          <c:cat>
            <c:strRef>
              <c:f>'Charts-SM'!$B$32:$E$32</c:f>
            </c:strRef>
          </c:cat>
          <c:val>
            <c:numRef>
              <c:f>'Charts-SM'!$B$33:$E$33</c:f>
              <c:numCache/>
            </c:numRef>
          </c:val>
        </c:ser>
        <c:axId val="854438184"/>
        <c:axId val="79840506"/>
      </c:barChart>
      <c:catAx>
        <c:axId val="854438184"/>
        <c:scaling>
          <c:orientation val="minMax"/>
        </c:scaling>
        <c:delete val="0"/>
        <c:axPos val="b"/>
        <c:title>
          <c:tx>
            <c:rich>
              <a:bodyPr/>
              <a:lstStyle/>
              <a:p>
                <a:pPr lvl="0">
                  <a:defRPr b="0" i="0" sz="1200">
                    <a:solidFill>
                      <a:srgbClr val="222222"/>
                    </a:solidFill>
                    <a:latin typeface="Roboto"/>
                  </a:defRPr>
                </a:pPr>
                <a:r>
                  <a:rPr b="0" i="0" sz="1200">
                    <a:solidFill>
                      <a:srgbClr val="222222"/>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79840506"/>
      </c:catAx>
      <c:valAx>
        <c:axId val="7984050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i="0" sz="1200">
                    <a:solidFill>
                      <a:srgbClr val="222222"/>
                    </a:solidFill>
                    <a:latin typeface="Roboto"/>
                  </a:defRPr>
                </a:pPr>
                <a:r>
                  <a:rPr b="0" i="0" sz="1200">
                    <a:solidFill>
                      <a:srgbClr val="222222"/>
                    </a:solidFill>
                    <a:latin typeface="Roboto"/>
                  </a:rPr>
                  <a:t>Average Citation per Paper</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854438184"/>
      </c:valAx>
    </c:plotArea>
    <c:plotVisOnly val="0"/>
  </c:chart>
</c:chartSpace>
</file>

<file path=xl/charts/chart4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rgbClr val="666666"/>
            </a:solidFill>
            <a:ln cmpd="sng">
              <a:solidFill>
                <a:srgbClr val="000000"/>
              </a:solidFill>
            </a:ln>
          </c:spPr>
          <c:cat>
            <c:strRef>
              <c:f>'Charts-SM'!$B$30:$E$30</c:f>
            </c:strRef>
          </c:cat>
          <c:val>
            <c:numRef>
              <c:f>'Charts-SM'!$B$31:$E$31</c:f>
              <c:numCache/>
            </c:numRef>
          </c:val>
        </c:ser>
        <c:axId val="338590389"/>
        <c:axId val="1873272336"/>
      </c:barChart>
      <c:catAx>
        <c:axId val="338590389"/>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1873272336"/>
      </c:catAx>
      <c:valAx>
        <c:axId val="187327233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i="0" sz="1200">
                    <a:solidFill>
                      <a:srgbClr val="222222"/>
                    </a:solidFill>
                    <a:latin typeface="Roboto"/>
                  </a:defRPr>
                </a:pPr>
                <a:r>
                  <a:rPr b="0" i="0" sz="1200">
                    <a:solidFill>
                      <a:srgbClr val="222222"/>
                    </a:solidFill>
                    <a:latin typeface="Roboto"/>
                  </a:rPr>
                  <a:t>Total citation count</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338590389"/>
      </c:valAx>
    </c:plotArea>
    <c:plotVisOnly val="0"/>
  </c:chart>
</c:chartSpace>
</file>

<file path=xl/charts/chart4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strRef>
              <c:f>'Charts-SM'!$B$54</c:f>
            </c:strRef>
          </c:tx>
          <c:spPr>
            <a:ln cmpd="sng" w="76200">
              <a:solidFill>
                <a:srgbClr val="000000">
                  <a:alpha val="100000"/>
                </a:srgbClr>
              </a:solidFill>
            </a:ln>
          </c:spPr>
          <c:marker>
            <c:symbol val="none"/>
          </c:marker>
          <c:cat>
            <c:strRef>
              <c:f>'Charts-SM'!$A$55:$A$75</c:f>
            </c:strRef>
          </c:cat>
          <c:val>
            <c:numRef>
              <c:f>'Charts-SM'!$B$55:$B$75</c:f>
              <c:numCache/>
            </c:numRef>
          </c:val>
          <c:smooth val="0"/>
        </c:ser>
        <c:ser>
          <c:idx val="1"/>
          <c:order val="1"/>
          <c:tx>
            <c:strRef>
              <c:f>'Charts-SM'!$C$54</c:f>
            </c:strRef>
          </c:tx>
          <c:spPr>
            <a:ln cmpd="sng">
              <a:solidFill>
                <a:srgbClr val="999999">
                  <a:alpha val="100000"/>
                </a:srgbClr>
              </a:solidFill>
            </a:ln>
          </c:spPr>
          <c:marker>
            <c:symbol val="none"/>
          </c:marker>
          <c:cat>
            <c:strRef>
              <c:f>'Charts-SM'!$A$55:$A$75</c:f>
            </c:strRef>
          </c:cat>
          <c:val>
            <c:numRef>
              <c:f>'Charts-SM'!$C$55:$C$75</c:f>
              <c:numCache/>
            </c:numRef>
          </c:val>
          <c:smooth val="0"/>
        </c:ser>
        <c:ser>
          <c:idx val="2"/>
          <c:order val="2"/>
          <c:tx>
            <c:strRef>
              <c:f>'Charts-SM'!$D$54</c:f>
            </c:strRef>
          </c:tx>
          <c:spPr>
            <a:ln cmpd="sng" w="19050">
              <a:solidFill>
                <a:srgbClr val="000000">
                  <a:alpha val="100000"/>
                </a:srgbClr>
              </a:solidFill>
            </a:ln>
          </c:spPr>
          <c:marker>
            <c:symbol val="none"/>
          </c:marker>
          <c:cat>
            <c:strRef>
              <c:f>'Charts-SM'!$A$55:$A$75</c:f>
            </c:strRef>
          </c:cat>
          <c:val>
            <c:numRef>
              <c:f>'Charts-SM'!$D$55:$D$75</c:f>
              <c:numCache/>
            </c:numRef>
          </c:val>
          <c:smooth val="0"/>
        </c:ser>
        <c:ser>
          <c:idx val="3"/>
          <c:order val="3"/>
          <c:tx>
            <c:strRef>
              <c:f>'Charts-SM'!$E$54</c:f>
            </c:strRef>
          </c:tx>
          <c:spPr>
            <a:ln cmpd="sng" w="76200">
              <a:solidFill>
                <a:srgbClr val="B7B7B7">
                  <a:alpha val="100000"/>
                </a:srgbClr>
              </a:solidFill>
            </a:ln>
          </c:spPr>
          <c:marker>
            <c:symbol val="none"/>
          </c:marker>
          <c:cat>
            <c:strRef>
              <c:f>'Charts-SM'!$A$55:$A$75</c:f>
            </c:strRef>
          </c:cat>
          <c:val>
            <c:numRef>
              <c:f>'Charts-SM'!$E$55:$E$75</c:f>
              <c:numCache/>
            </c:numRef>
          </c:val>
          <c:smooth val="0"/>
        </c:ser>
        <c:axId val="1090319095"/>
        <c:axId val="2113159540"/>
      </c:lineChart>
      <c:catAx>
        <c:axId val="1090319095"/>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2113159540"/>
      </c:catAx>
      <c:valAx>
        <c:axId val="211315954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i="0" sz="1200">
                    <a:solidFill>
                      <a:srgbClr val="222222"/>
                    </a:solidFill>
                    <a:latin typeface="Roboto"/>
                  </a:defRPr>
                </a:pPr>
                <a:r>
                  <a:rPr b="0" i="0" sz="1200">
                    <a:solidFill>
                      <a:srgbClr val="222222"/>
                    </a:solidFill>
                    <a:latin typeface="Roboto"/>
                  </a:rPr>
                  <a:t>Number of papers</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090319095"/>
      </c:valAx>
    </c:plotArea>
    <c:plotVisOnly val="0"/>
  </c:chart>
</c:chartSpace>
</file>

<file path=xl/charts/chart4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Synchronicity of HTTP calls</a:t>
            </a:r>
          </a:p>
        </c:rich>
      </c:tx>
      <c:overlay val="0"/>
    </c:title>
    <c:plotArea>
      <c:layout/>
      <c:barChart>
        <c:barDir val="col"/>
        <c:grouping val="stacked"/>
        <c:ser>
          <c:idx val="0"/>
          <c:order val="0"/>
          <c:tx>
            <c:strRef>
              <c:f>'Charts-SM'!$B$555</c:f>
            </c:strRef>
          </c:tx>
          <c:spPr>
            <a:solidFill>
              <a:srgbClr val="434343"/>
            </a:solidFill>
            <a:ln cmpd="sng">
              <a:solidFill>
                <a:srgbClr val="000000"/>
              </a:solidFill>
            </a:ln>
          </c:spPr>
          <c:cat>
            <c:strRef>
              <c:f>'Charts-SM'!$A$556:$A$566</c:f>
            </c:strRef>
          </c:cat>
          <c:val>
            <c:numRef>
              <c:f>'Charts-SM'!$B$556:$B$566</c:f>
              <c:numCache/>
            </c:numRef>
          </c:val>
        </c:ser>
        <c:ser>
          <c:idx val="1"/>
          <c:order val="1"/>
          <c:tx>
            <c:strRef>
              <c:f>'Charts-SM'!$C$555</c:f>
            </c:strRef>
          </c:tx>
          <c:spPr>
            <a:solidFill>
              <a:srgbClr val="999999"/>
            </a:solidFill>
            <a:ln cmpd="sng">
              <a:solidFill>
                <a:srgbClr val="000000"/>
              </a:solidFill>
            </a:ln>
          </c:spPr>
          <c:cat>
            <c:strRef>
              <c:f>'Charts-SM'!$A$556:$A$566</c:f>
            </c:strRef>
          </c:cat>
          <c:val>
            <c:numRef>
              <c:f>'Charts-SM'!$C$556:$C$566</c:f>
              <c:numCache/>
            </c:numRef>
          </c:val>
        </c:ser>
        <c:overlap val="100"/>
        <c:axId val="793258194"/>
        <c:axId val="1391675914"/>
      </c:barChart>
      <c:catAx>
        <c:axId val="793258194"/>
        <c:scaling>
          <c:orientation val="minMax"/>
        </c:scaling>
        <c:delete val="0"/>
        <c:axPos val="b"/>
        <c:title>
          <c:tx>
            <c:rich>
              <a:bodyPr/>
              <a:lstStyle/>
              <a:p>
                <a:pPr lvl="0">
                  <a:defRPr b="0" i="1" sz="1200">
                    <a:solidFill>
                      <a:srgbClr val="222222"/>
                    </a:solidFill>
                    <a:latin typeface="Roboto"/>
                  </a:defRPr>
                </a:pPr>
                <a:r>
                  <a:rPr b="0" i="1" sz="1200">
                    <a:solidFill>
                      <a:srgbClr val="222222"/>
                    </a:solidFill>
                    <a:latin typeface="Roboto"/>
                  </a:rPr>
                  <a:t/>
                </a:r>
              </a:p>
            </c:rich>
          </c:tx>
          <c:overlay val="0"/>
        </c:title>
        <c:numFmt formatCode="General" sourceLinked="1"/>
        <c:majorTickMark val="none"/>
        <c:minorTickMark val="none"/>
        <c:spPr/>
        <c:txPr>
          <a:bodyPr/>
          <a:lstStyle/>
          <a:p>
            <a:pPr lvl="0">
              <a:defRPr b="0" sz="1200">
                <a:solidFill>
                  <a:srgbClr val="222222"/>
                </a:solidFill>
                <a:latin typeface="Roboto"/>
              </a:defRPr>
            </a:pPr>
          </a:p>
        </c:txPr>
        <c:crossAx val="1391675914"/>
      </c:catAx>
      <c:valAx>
        <c:axId val="139167591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i="0" sz="1200">
                    <a:solidFill>
                      <a:srgbClr val="222222"/>
                    </a:solidFill>
                    <a:latin typeface="Roboto"/>
                  </a:defRPr>
                </a:pPr>
                <a:r>
                  <a:rPr b="0" i="0" sz="1200">
                    <a:solidFill>
                      <a:srgbClr val="222222"/>
                    </a:solidFill>
                    <a:latin typeface="Roboto"/>
                  </a:rPr>
                  <a:t>Number of papers</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793258194"/>
      </c:valAx>
    </c:plotArea>
    <c:legend>
      <c:legendPos val="b"/>
      <c:overlay val="0"/>
      <c:txPr>
        <a:bodyPr/>
        <a:lstStyle/>
        <a:p>
          <a:pPr lvl="0">
            <a:defRPr b="0">
              <a:solidFill>
                <a:srgbClr val="000000"/>
              </a:solidFill>
              <a:latin typeface="Roboto"/>
            </a:defRPr>
          </a:pPr>
        </a:p>
      </c:txPr>
    </c:legend>
    <c:plotVisOnly val="0"/>
  </c:chart>
</c:chartSpace>
</file>

<file path=xl/charts/chart4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Annual Trend for Test Location</a:t>
            </a:r>
          </a:p>
        </c:rich>
      </c:tx>
      <c:overlay val="0"/>
    </c:title>
    <c:plotArea>
      <c:layout/>
      <c:lineChart>
        <c:ser>
          <c:idx val="0"/>
          <c:order val="0"/>
          <c:tx>
            <c:strRef>
              <c:f>'Charts-SM'!$B$385</c:f>
            </c:strRef>
          </c:tx>
          <c:spPr>
            <a:ln cmpd="sng">
              <a:solidFill>
                <a:srgbClr val="666666">
                  <a:alpha val="100000"/>
                </a:srgbClr>
              </a:solidFill>
            </a:ln>
          </c:spPr>
          <c:marker>
            <c:symbol val="none"/>
          </c:marker>
          <c:cat>
            <c:strRef>
              <c:f>'Charts-SM'!$A$386:$A$396</c:f>
            </c:strRef>
          </c:cat>
          <c:val>
            <c:numRef>
              <c:f>'Charts-SM'!$B$386:$B$396</c:f>
              <c:numCache/>
            </c:numRef>
          </c:val>
          <c:smooth val="0"/>
        </c:ser>
        <c:ser>
          <c:idx val="1"/>
          <c:order val="1"/>
          <c:tx>
            <c:strRef>
              <c:f>'Charts-SM'!$C$385</c:f>
            </c:strRef>
          </c:tx>
          <c:spPr>
            <a:ln cmpd="sng">
              <a:solidFill>
                <a:srgbClr val="CCCCCC">
                  <a:alpha val="100000"/>
                </a:srgbClr>
              </a:solidFill>
            </a:ln>
          </c:spPr>
          <c:marker>
            <c:symbol val="none"/>
          </c:marker>
          <c:cat>
            <c:strRef>
              <c:f>'Charts-SM'!$A$386:$A$396</c:f>
            </c:strRef>
          </c:cat>
          <c:val>
            <c:numRef>
              <c:f>'Charts-SM'!$C$386:$C$396</c:f>
              <c:numCache/>
            </c:numRef>
          </c:val>
          <c:smooth val="0"/>
        </c:ser>
        <c:ser>
          <c:idx val="2"/>
          <c:order val="2"/>
          <c:tx>
            <c:strRef>
              <c:f>'Charts-SM'!$D$385</c:f>
            </c:strRef>
          </c:tx>
          <c:spPr>
            <a:ln cmpd="sng" w="38100">
              <a:solidFill>
                <a:srgbClr val="000000">
                  <a:alpha val="100000"/>
                </a:srgbClr>
              </a:solidFill>
            </a:ln>
          </c:spPr>
          <c:marker>
            <c:symbol val="none"/>
          </c:marker>
          <c:cat>
            <c:strRef>
              <c:f>'Charts-SM'!$A$386:$A$396</c:f>
            </c:strRef>
          </c:cat>
          <c:val>
            <c:numRef>
              <c:f>'Charts-SM'!$D$386:$D$396</c:f>
              <c:numCache/>
            </c:numRef>
          </c:val>
          <c:smooth val="0"/>
        </c:ser>
        <c:axId val="1448068502"/>
        <c:axId val="50829076"/>
      </c:lineChart>
      <c:catAx>
        <c:axId val="1448068502"/>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0"/>
        <c:majorTickMark val="none"/>
        <c:minorTickMark val="none"/>
        <c:spPr/>
        <c:txPr>
          <a:bodyPr/>
          <a:lstStyle/>
          <a:p>
            <a:pPr lvl="0">
              <a:defRPr b="0">
                <a:solidFill>
                  <a:srgbClr val="000000"/>
                </a:solidFill>
                <a:latin typeface="Roboto"/>
              </a:defRPr>
            </a:pPr>
          </a:p>
        </c:txPr>
        <c:crossAx val="50829076"/>
      </c:catAx>
      <c:valAx>
        <c:axId val="5082907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i="0" sz="1200">
                    <a:solidFill>
                      <a:srgbClr val="222222"/>
                    </a:solidFill>
                    <a:latin typeface="Roboto"/>
                  </a:defRPr>
                </a:pPr>
                <a:r>
                  <a:rPr b="0" i="0" sz="1200">
                    <a:solidFill>
                      <a:srgbClr val="222222"/>
                    </a:solidFill>
                    <a:latin typeface="Roboto"/>
                  </a:rPr>
                  <a:t>Number of papers</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448068502"/>
      </c:valAx>
    </c:plotArea>
    <c:legend>
      <c:legendPos val="r"/>
      <c:overlay val="0"/>
      <c:txPr>
        <a:bodyPr/>
        <a:lstStyle/>
        <a:p>
          <a:pPr lvl="0">
            <a:defRPr b="0">
              <a:solidFill>
                <a:srgbClr val="000000"/>
              </a:solidFill>
              <a:latin typeface="Roboto"/>
            </a:defRPr>
          </a:pPr>
        </a:p>
      </c:txPr>
    </c:legend>
    <c:plotVisOnly val="0"/>
  </c:chart>
</c:chartSpace>
</file>

<file path=xl/drawings/_rels/drawing2.xml.rels><?xml version="1.0" encoding="UTF-8" standalone="yes"?><Relationships xmlns="http://schemas.openxmlformats.org/package/2006/relationships"><Relationship Id="rId20" Type="http://schemas.openxmlformats.org/officeDocument/2006/relationships/chart" Target="../charts/chart20.xml"/><Relationship Id="rId22" Type="http://schemas.openxmlformats.org/officeDocument/2006/relationships/chart" Target="../charts/chart22.xml"/><Relationship Id="rId21" Type="http://schemas.openxmlformats.org/officeDocument/2006/relationships/chart" Target="../charts/chart21.xml"/><Relationship Id="rId24" Type="http://schemas.openxmlformats.org/officeDocument/2006/relationships/chart" Target="../charts/chart24.xml"/><Relationship Id="rId23" Type="http://schemas.openxmlformats.org/officeDocument/2006/relationships/chart" Target="../charts/chart23.xml"/><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9" Type="http://schemas.openxmlformats.org/officeDocument/2006/relationships/chart" Target="../charts/chart9.xml"/><Relationship Id="rId25" Type="http://schemas.openxmlformats.org/officeDocument/2006/relationships/chart" Target="../charts/chart25.xml"/><Relationship Id="rId5" Type="http://schemas.openxmlformats.org/officeDocument/2006/relationships/chart" Target="../charts/chart5.xml"/><Relationship Id="rId6" Type="http://schemas.openxmlformats.org/officeDocument/2006/relationships/chart" Target="../charts/chart6.xml"/><Relationship Id="rId7" Type="http://schemas.openxmlformats.org/officeDocument/2006/relationships/chart" Target="../charts/chart7.xml"/><Relationship Id="rId8" Type="http://schemas.openxmlformats.org/officeDocument/2006/relationships/chart" Target="../charts/chart8.xml"/><Relationship Id="rId11" Type="http://schemas.openxmlformats.org/officeDocument/2006/relationships/chart" Target="../charts/chart11.xml"/><Relationship Id="rId10" Type="http://schemas.openxmlformats.org/officeDocument/2006/relationships/chart" Target="../charts/chart10.xml"/><Relationship Id="rId13" Type="http://schemas.openxmlformats.org/officeDocument/2006/relationships/chart" Target="../charts/chart13.xml"/><Relationship Id="rId12" Type="http://schemas.openxmlformats.org/officeDocument/2006/relationships/chart" Target="../charts/chart12.xml"/><Relationship Id="rId15" Type="http://schemas.openxmlformats.org/officeDocument/2006/relationships/chart" Target="../charts/chart15.xml"/><Relationship Id="rId14" Type="http://schemas.openxmlformats.org/officeDocument/2006/relationships/chart" Target="../charts/chart14.xml"/><Relationship Id="rId17" Type="http://schemas.openxmlformats.org/officeDocument/2006/relationships/chart" Target="../charts/chart17.xml"/><Relationship Id="rId16" Type="http://schemas.openxmlformats.org/officeDocument/2006/relationships/chart" Target="../charts/chart16.xml"/><Relationship Id="rId19" Type="http://schemas.openxmlformats.org/officeDocument/2006/relationships/chart" Target="../charts/chart19.xml"/><Relationship Id="rId18" Type="http://schemas.openxmlformats.org/officeDocument/2006/relationships/chart" Target="../charts/chart1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26.xml"/></Relationships>
</file>

<file path=xl/drawings/_rels/drawing7.xml.rels><?xml version="1.0" encoding="UTF-8" standalone="yes"?><Relationships xmlns="http://schemas.openxmlformats.org/package/2006/relationships"><Relationship Id="rId20" Type="http://schemas.openxmlformats.org/officeDocument/2006/relationships/chart" Target="../charts/chart46.xml"/><Relationship Id="rId22" Type="http://schemas.openxmlformats.org/officeDocument/2006/relationships/chart" Target="../charts/chart48.xml"/><Relationship Id="rId21" Type="http://schemas.openxmlformats.org/officeDocument/2006/relationships/chart" Target="../charts/chart47.xml"/><Relationship Id="rId1" Type="http://schemas.openxmlformats.org/officeDocument/2006/relationships/chart" Target="../charts/chart27.xml"/><Relationship Id="rId2" Type="http://schemas.openxmlformats.org/officeDocument/2006/relationships/chart" Target="../charts/chart28.xml"/><Relationship Id="rId3" Type="http://schemas.openxmlformats.org/officeDocument/2006/relationships/chart" Target="../charts/chart29.xml"/><Relationship Id="rId4" Type="http://schemas.openxmlformats.org/officeDocument/2006/relationships/chart" Target="../charts/chart30.xml"/><Relationship Id="rId9" Type="http://schemas.openxmlformats.org/officeDocument/2006/relationships/chart" Target="../charts/chart35.xml"/><Relationship Id="rId5" Type="http://schemas.openxmlformats.org/officeDocument/2006/relationships/chart" Target="../charts/chart31.xml"/><Relationship Id="rId6" Type="http://schemas.openxmlformats.org/officeDocument/2006/relationships/chart" Target="../charts/chart32.xml"/><Relationship Id="rId7" Type="http://schemas.openxmlformats.org/officeDocument/2006/relationships/chart" Target="../charts/chart33.xml"/><Relationship Id="rId8" Type="http://schemas.openxmlformats.org/officeDocument/2006/relationships/chart" Target="../charts/chart34.xml"/><Relationship Id="rId11" Type="http://schemas.openxmlformats.org/officeDocument/2006/relationships/chart" Target="../charts/chart37.xml"/><Relationship Id="rId10" Type="http://schemas.openxmlformats.org/officeDocument/2006/relationships/chart" Target="../charts/chart36.xml"/><Relationship Id="rId13" Type="http://schemas.openxmlformats.org/officeDocument/2006/relationships/chart" Target="../charts/chart39.xml"/><Relationship Id="rId12" Type="http://schemas.openxmlformats.org/officeDocument/2006/relationships/chart" Target="../charts/chart38.xml"/><Relationship Id="rId15" Type="http://schemas.openxmlformats.org/officeDocument/2006/relationships/chart" Target="../charts/chart41.xml"/><Relationship Id="rId14" Type="http://schemas.openxmlformats.org/officeDocument/2006/relationships/chart" Target="../charts/chart40.xml"/><Relationship Id="rId17" Type="http://schemas.openxmlformats.org/officeDocument/2006/relationships/chart" Target="../charts/chart43.xml"/><Relationship Id="rId16" Type="http://schemas.openxmlformats.org/officeDocument/2006/relationships/chart" Target="../charts/chart42.xml"/><Relationship Id="rId19" Type="http://schemas.openxmlformats.org/officeDocument/2006/relationships/chart" Target="../charts/chart45.xml"/><Relationship Id="rId18" Type="http://schemas.openxmlformats.org/officeDocument/2006/relationships/chart" Target="../charts/chart4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66675</xdr:colOff>
      <xdr:row>0</xdr:row>
      <xdr:rowOff>485775</xdr:rowOff>
    </xdr:from>
    <xdr:ext cx="5715000" cy="5629275"/>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xdr:col>
      <xdr:colOff>409575</xdr:colOff>
      <xdr:row>61</xdr:row>
      <xdr:rowOff>466725</xdr:rowOff>
    </xdr:from>
    <xdr:ext cx="5715000" cy="3533775"/>
    <xdr:graphicFrame>
      <xdr:nvGraphicFramePr>
        <xdr:cNvPr id="2" name="Chart 2"/>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3</xdr:col>
      <xdr:colOff>247650</xdr:colOff>
      <xdr:row>218</xdr:row>
      <xdr:rowOff>400050</xdr:rowOff>
    </xdr:from>
    <xdr:ext cx="5162550" cy="3171825"/>
    <xdr:graphicFrame>
      <xdr:nvGraphicFramePr>
        <xdr:cNvPr id="3" name="Chart 3"/>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3</xdr:col>
      <xdr:colOff>76200</xdr:colOff>
      <xdr:row>306</xdr:row>
      <xdr:rowOff>371475</xdr:rowOff>
    </xdr:from>
    <xdr:ext cx="4591050" cy="2571750"/>
    <xdr:graphicFrame>
      <xdr:nvGraphicFramePr>
        <xdr:cNvPr id="4" name="Chart 4"/>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0</xdr:col>
      <xdr:colOff>2619375</xdr:colOff>
      <xdr:row>329</xdr:row>
      <xdr:rowOff>342900</xdr:rowOff>
    </xdr:from>
    <xdr:ext cx="6410325" cy="3533775"/>
    <xdr:graphicFrame>
      <xdr:nvGraphicFramePr>
        <xdr:cNvPr id="5" name="Chart 5"/>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2</xdr:col>
      <xdr:colOff>257175</xdr:colOff>
      <xdr:row>389</xdr:row>
      <xdr:rowOff>428625</xdr:rowOff>
    </xdr:from>
    <xdr:ext cx="4333875" cy="2619375"/>
    <xdr:graphicFrame>
      <xdr:nvGraphicFramePr>
        <xdr:cNvPr id="6" name="Chart 6"/>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1</xdr:col>
      <xdr:colOff>1181100</xdr:colOff>
      <xdr:row>435</xdr:row>
      <xdr:rowOff>361950</xdr:rowOff>
    </xdr:from>
    <xdr:ext cx="4457700" cy="2905125"/>
    <xdr:graphicFrame>
      <xdr:nvGraphicFramePr>
        <xdr:cNvPr id="7" name="Chart 7"/>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3</xdr:col>
      <xdr:colOff>285750</xdr:colOff>
      <xdr:row>460</xdr:row>
      <xdr:rowOff>495300</xdr:rowOff>
    </xdr:from>
    <xdr:ext cx="6924675" cy="3781425"/>
    <xdr:graphicFrame>
      <xdr:nvGraphicFramePr>
        <xdr:cNvPr id="8" name="Chart 8"/>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6</xdr:col>
      <xdr:colOff>800100</xdr:colOff>
      <xdr:row>613</xdr:row>
      <xdr:rowOff>352425</xdr:rowOff>
    </xdr:from>
    <xdr:ext cx="5867400" cy="3238500"/>
    <xdr:graphicFrame>
      <xdr:nvGraphicFramePr>
        <xdr:cNvPr id="9" name="Chart 9"/>
        <xdr:cNvGraphicFramePr/>
      </xdr:nvGraphicFramePr>
      <xdr:xfrm>
        <a:off x="0" y="0"/>
        <a:ext cx="0" cy="0"/>
      </xdr:xfrm>
      <a:graphic>
        <a:graphicData uri="http://schemas.openxmlformats.org/drawingml/2006/chart">
          <c:chart r:id="rId9"/>
        </a:graphicData>
      </a:graphic>
    </xdr:graphicFrame>
    <xdr:clientData fLocksWithSheet="0"/>
  </xdr:oneCellAnchor>
  <xdr:oneCellAnchor>
    <xdr:from>
      <xdr:col>2</xdr:col>
      <xdr:colOff>895350</xdr:colOff>
      <xdr:row>641</xdr:row>
      <xdr:rowOff>400050</xdr:rowOff>
    </xdr:from>
    <xdr:ext cx="6734175" cy="3533775"/>
    <xdr:graphicFrame>
      <xdr:nvGraphicFramePr>
        <xdr:cNvPr id="10" name="Chart 10"/>
        <xdr:cNvGraphicFramePr/>
      </xdr:nvGraphicFramePr>
      <xdr:xfrm>
        <a:off x="0" y="0"/>
        <a:ext cx="0" cy="0"/>
      </xdr:xfrm>
      <a:graphic>
        <a:graphicData uri="http://schemas.openxmlformats.org/drawingml/2006/chart">
          <c:chart r:id="rId10"/>
        </a:graphicData>
      </a:graphic>
    </xdr:graphicFrame>
    <xdr:clientData fLocksWithSheet="0"/>
  </xdr:oneCellAnchor>
  <xdr:oneCellAnchor>
    <xdr:from>
      <xdr:col>7</xdr:col>
      <xdr:colOff>857250</xdr:colOff>
      <xdr:row>709</xdr:row>
      <xdr:rowOff>485775</xdr:rowOff>
    </xdr:from>
    <xdr:ext cx="5715000" cy="3533775"/>
    <xdr:graphicFrame>
      <xdr:nvGraphicFramePr>
        <xdr:cNvPr id="11" name="Chart 11"/>
        <xdr:cNvGraphicFramePr/>
      </xdr:nvGraphicFramePr>
      <xdr:xfrm>
        <a:off x="0" y="0"/>
        <a:ext cx="0" cy="0"/>
      </xdr:xfrm>
      <a:graphic>
        <a:graphicData uri="http://schemas.openxmlformats.org/drawingml/2006/chart">
          <c:chart r:id="rId11"/>
        </a:graphicData>
      </a:graphic>
    </xdr:graphicFrame>
    <xdr:clientData fLocksWithSheet="0"/>
  </xdr:oneCellAnchor>
  <xdr:oneCellAnchor>
    <xdr:from>
      <xdr:col>7</xdr:col>
      <xdr:colOff>819150</xdr:colOff>
      <xdr:row>756</xdr:row>
      <xdr:rowOff>485775</xdr:rowOff>
    </xdr:from>
    <xdr:ext cx="5715000" cy="2952750"/>
    <xdr:graphicFrame>
      <xdr:nvGraphicFramePr>
        <xdr:cNvPr id="12" name="Chart 12"/>
        <xdr:cNvGraphicFramePr/>
      </xdr:nvGraphicFramePr>
      <xdr:xfrm>
        <a:off x="0" y="0"/>
        <a:ext cx="0" cy="0"/>
      </xdr:xfrm>
      <a:graphic>
        <a:graphicData uri="http://schemas.openxmlformats.org/drawingml/2006/chart">
          <c:chart r:id="rId12"/>
        </a:graphicData>
      </a:graphic>
    </xdr:graphicFrame>
    <xdr:clientData fLocksWithSheet="0"/>
  </xdr:oneCellAnchor>
  <xdr:oneCellAnchor>
    <xdr:from>
      <xdr:col>1</xdr:col>
      <xdr:colOff>1057275</xdr:colOff>
      <xdr:row>810</xdr:row>
      <xdr:rowOff>504825</xdr:rowOff>
    </xdr:from>
    <xdr:ext cx="6191250" cy="3676650"/>
    <xdr:graphicFrame>
      <xdr:nvGraphicFramePr>
        <xdr:cNvPr id="13" name="Chart 13"/>
        <xdr:cNvGraphicFramePr/>
      </xdr:nvGraphicFramePr>
      <xdr:xfrm>
        <a:off x="0" y="0"/>
        <a:ext cx="0" cy="0"/>
      </xdr:xfrm>
      <a:graphic>
        <a:graphicData uri="http://schemas.openxmlformats.org/drawingml/2006/chart">
          <c:chart r:id="rId13"/>
        </a:graphicData>
      </a:graphic>
    </xdr:graphicFrame>
    <xdr:clientData fLocksWithSheet="0"/>
  </xdr:oneCellAnchor>
  <xdr:oneCellAnchor>
    <xdr:from>
      <xdr:col>0</xdr:col>
      <xdr:colOff>904875</xdr:colOff>
      <xdr:row>161</xdr:row>
      <xdr:rowOff>381000</xdr:rowOff>
    </xdr:from>
    <xdr:ext cx="5715000" cy="3533775"/>
    <xdr:graphicFrame>
      <xdr:nvGraphicFramePr>
        <xdr:cNvPr id="14" name="Chart 14"/>
        <xdr:cNvGraphicFramePr/>
      </xdr:nvGraphicFramePr>
      <xdr:xfrm>
        <a:off x="0" y="0"/>
        <a:ext cx="0" cy="0"/>
      </xdr:xfrm>
      <a:graphic>
        <a:graphicData uri="http://schemas.openxmlformats.org/drawingml/2006/chart">
          <c:chart r:id="rId14"/>
        </a:graphicData>
      </a:graphic>
    </xdr:graphicFrame>
    <xdr:clientData fLocksWithSheet="0"/>
  </xdr:oneCellAnchor>
  <xdr:oneCellAnchor>
    <xdr:from>
      <xdr:col>6</xdr:col>
      <xdr:colOff>466725</xdr:colOff>
      <xdr:row>482</xdr:row>
      <xdr:rowOff>438150</xdr:rowOff>
    </xdr:from>
    <xdr:ext cx="8439150" cy="4314825"/>
    <xdr:graphicFrame>
      <xdr:nvGraphicFramePr>
        <xdr:cNvPr id="15" name="Chart 15"/>
        <xdr:cNvGraphicFramePr/>
      </xdr:nvGraphicFramePr>
      <xdr:xfrm>
        <a:off x="0" y="0"/>
        <a:ext cx="0" cy="0"/>
      </xdr:xfrm>
      <a:graphic>
        <a:graphicData uri="http://schemas.openxmlformats.org/drawingml/2006/chart">
          <c:chart r:id="rId15"/>
        </a:graphicData>
      </a:graphic>
    </xdr:graphicFrame>
    <xdr:clientData fLocksWithSheet="0"/>
  </xdr:oneCellAnchor>
  <xdr:oneCellAnchor>
    <xdr:from>
      <xdr:col>0</xdr:col>
      <xdr:colOff>723900</xdr:colOff>
      <xdr:row>857</xdr:row>
      <xdr:rowOff>495300</xdr:rowOff>
    </xdr:from>
    <xdr:ext cx="6010275" cy="3695700"/>
    <xdr:graphicFrame>
      <xdr:nvGraphicFramePr>
        <xdr:cNvPr id="16" name="Chart 16"/>
        <xdr:cNvGraphicFramePr/>
      </xdr:nvGraphicFramePr>
      <xdr:xfrm>
        <a:off x="0" y="0"/>
        <a:ext cx="0" cy="0"/>
      </xdr:xfrm>
      <a:graphic>
        <a:graphicData uri="http://schemas.openxmlformats.org/drawingml/2006/chart">
          <c:chart r:id="rId16"/>
        </a:graphicData>
      </a:graphic>
    </xdr:graphicFrame>
    <xdr:clientData fLocksWithSheet="0"/>
  </xdr:oneCellAnchor>
  <xdr:oneCellAnchor>
    <xdr:from>
      <xdr:col>1</xdr:col>
      <xdr:colOff>152400</xdr:colOff>
      <xdr:row>190</xdr:row>
      <xdr:rowOff>152400</xdr:rowOff>
    </xdr:from>
    <xdr:ext cx="5715000" cy="3533775"/>
    <xdr:graphicFrame>
      <xdr:nvGraphicFramePr>
        <xdr:cNvPr id="17" name="Chart 17"/>
        <xdr:cNvGraphicFramePr/>
      </xdr:nvGraphicFramePr>
      <xdr:xfrm>
        <a:off x="0" y="0"/>
        <a:ext cx="0" cy="0"/>
      </xdr:xfrm>
      <a:graphic>
        <a:graphicData uri="http://schemas.openxmlformats.org/drawingml/2006/chart">
          <c:chart r:id="rId17"/>
        </a:graphicData>
      </a:graphic>
    </xdr:graphicFrame>
    <xdr:clientData fLocksWithSheet="0"/>
  </xdr:oneCellAnchor>
  <xdr:oneCellAnchor>
    <xdr:from>
      <xdr:col>3</xdr:col>
      <xdr:colOff>333375</xdr:colOff>
      <xdr:row>670</xdr:row>
      <xdr:rowOff>371475</xdr:rowOff>
    </xdr:from>
    <xdr:ext cx="5715000" cy="3133725"/>
    <xdr:graphicFrame>
      <xdr:nvGraphicFramePr>
        <xdr:cNvPr id="18" name="Chart 18"/>
        <xdr:cNvGraphicFramePr/>
      </xdr:nvGraphicFramePr>
      <xdr:xfrm>
        <a:off x="0" y="0"/>
        <a:ext cx="0" cy="0"/>
      </xdr:xfrm>
      <a:graphic>
        <a:graphicData uri="http://schemas.openxmlformats.org/drawingml/2006/chart">
          <c:chart r:id="rId18"/>
        </a:graphicData>
      </a:graphic>
    </xdr:graphicFrame>
    <xdr:clientData fLocksWithSheet="0"/>
  </xdr:oneCellAnchor>
  <xdr:oneCellAnchor>
    <xdr:from>
      <xdr:col>4</xdr:col>
      <xdr:colOff>666750</xdr:colOff>
      <xdr:row>410</xdr:row>
      <xdr:rowOff>390525</xdr:rowOff>
    </xdr:from>
    <xdr:ext cx="5715000" cy="3533775"/>
    <xdr:graphicFrame>
      <xdr:nvGraphicFramePr>
        <xdr:cNvPr id="19" name="Chart 19"/>
        <xdr:cNvGraphicFramePr/>
      </xdr:nvGraphicFramePr>
      <xdr:xfrm>
        <a:off x="0" y="0"/>
        <a:ext cx="0" cy="0"/>
      </xdr:xfrm>
      <a:graphic>
        <a:graphicData uri="http://schemas.openxmlformats.org/drawingml/2006/chart">
          <c:chart r:id="rId19"/>
        </a:graphicData>
      </a:graphic>
    </xdr:graphicFrame>
    <xdr:clientData fLocksWithSheet="0"/>
  </xdr:oneCellAnchor>
  <xdr:oneCellAnchor>
    <xdr:from>
      <xdr:col>4</xdr:col>
      <xdr:colOff>742950</xdr:colOff>
      <xdr:row>495</xdr:row>
      <xdr:rowOff>409575</xdr:rowOff>
    </xdr:from>
    <xdr:ext cx="8239125" cy="6219825"/>
    <xdr:graphicFrame>
      <xdr:nvGraphicFramePr>
        <xdr:cNvPr id="20" name="Chart 20"/>
        <xdr:cNvGraphicFramePr/>
      </xdr:nvGraphicFramePr>
      <xdr:xfrm>
        <a:off x="0" y="0"/>
        <a:ext cx="0" cy="0"/>
      </xdr:xfrm>
      <a:graphic>
        <a:graphicData uri="http://schemas.openxmlformats.org/drawingml/2006/chart">
          <c:chart r:id="rId20"/>
        </a:graphicData>
      </a:graphic>
    </xdr:graphicFrame>
    <xdr:clientData fLocksWithSheet="0"/>
  </xdr:oneCellAnchor>
  <xdr:oneCellAnchor>
    <xdr:from>
      <xdr:col>7</xdr:col>
      <xdr:colOff>904875</xdr:colOff>
      <xdr:row>543</xdr:row>
      <xdr:rowOff>523875</xdr:rowOff>
    </xdr:from>
    <xdr:ext cx="7305675" cy="4772025"/>
    <xdr:graphicFrame>
      <xdr:nvGraphicFramePr>
        <xdr:cNvPr id="21" name="Chart 21"/>
        <xdr:cNvGraphicFramePr/>
      </xdr:nvGraphicFramePr>
      <xdr:xfrm>
        <a:off x="0" y="0"/>
        <a:ext cx="0" cy="0"/>
      </xdr:xfrm>
      <a:graphic>
        <a:graphicData uri="http://schemas.openxmlformats.org/drawingml/2006/chart">
          <c:chart r:id="rId21"/>
        </a:graphicData>
      </a:graphic>
    </xdr:graphicFrame>
    <xdr:clientData fLocksWithSheet="0"/>
  </xdr:oneCellAnchor>
  <xdr:oneCellAnchor>
    <xdr:from>
      <xdr:col>5</xdr:col>
      <xdr:colOff>609600</xdr:colOff>
      <xdr:row>580</xdr:row>
      <xdr:rowOff>400050</xdr:rowOff>
    </xdr:from>
    <xdr:ext cx="7153275" cy="3781425"/>
    <xdr:graphicFrame>
      <xdr:nvGraphicFramePr>
        <xdr:cNvPr id="22" name="Chart 22"/>
        <xdr:cNvGraphicFramePr/>
      </xdr:nvGraphicFramePr>
      <xdr:xfrm>
        <a:off x="0" y="0"/>
        <a:ext cx="0" cy="0"/>
      </xdr:xfrm>
      <a:graphic>
        <a:graphicData uri="http://schemas.openxmlformats.org/drawingml/2006/chart">
          <c:chart r:id="rId22"/>
        </a:graphicData>
      </a:graphic>
    </xdr:graphicFrame>
    <xdr:clientData fLocksWithSheet="0"/>
  </xdr:oneCellAnchor>
  <xdr:oneCellAnchor>
    <xdr:from>
      <xdr:col>5</xdr:col>
      <xdr:colOff>714375</xdr:colOff>
      <xdr:row>900</xdr:row>
      <xdr:rowOff>361950</xdr:rowOff>
    </xdr:from>
    <xdr:ext cx="5915025" cy="4067175"/>
    <xdr:graphicFrame>
      <xdr:nvGraphicFramePr>
        <xdr:cNvPr id="23" name="Chart 23"/>
        <xdr:cNvGraphicFramePr/>
      </xdr:nvGraphicFramePr>
      <xdr:xfrm>
        <a:off x="0" y="0"/>
        <a:ext cx="0" cy="0"/>
      </xdr:xfrm>
      <a:graphic>
        <a:graphicData uri="http://schemas.openxmlformats.org/drawingml/2006/chart">
          <c:chart r:id="rId23"/>
        </a:graphicData>
      </a:graphic>
    </xdr:graphicFrame>
    <xdr:clientData fLocksWithSheet="0"/>
  </xdr:oneCellAnchor>
  <xdr:oneCellAnchor>
    <xdr:from>
      <xdr:col>4</xdr:col>
      <xdr:colOff>114300</xdr:colOff>
      <xdr:row>928</xdr:row>
      <xdr:rowOff>371475</xdr:rowOff>
    </xdr:from>
    <xdr:ext cx="7000875" cy="3924300"/>
    <xdr:graphicFrame>
      <xdr:nvGraphicFramePr>
        <xdr:cNvPr id="24" name="Chart 24"/>
        <xdr:cNvGraphicFramePr/>
      </xdr:nvGraphicFramePr>
      <xdr:xfrm>
        <a:off x="0" y="0"/>
        <a:ext cx="0" cy="0"/>
      </xdr:xfrm>
      <a:graphic>
        <a:graphicData uri="http://schemas.openxmlformats.org/drawingml/2006/chart">
          <c:chart r:id="rId24"/>
        </a:graphicData>
      </a:graphic>
    </xdr:graphicFrame>
    <xdr:clientData fLocksWithSheet="0"/>
  </xdr:oneCellAnchor>
  <xdr:oneCellAnchor>
    <xdr:from>
      <xdr:col>5</xdr:col>
      <xdr:colOff>247650</xdr:colOff>
      <xdr:row>367</xdr:row>
      <xdr:rowOff>361950</xdr:rowOff>
    </xdr:from>
    <xdr:ext cx="6981825" cy="3971925"/>
    <xdr:graphicFrame>
      <xdr:nvGraphicFramePr>
        <xdr:cNvPr id="25" name="Chart 25"/>
        <xdr:cNvGraphicFramePr/>
      </xdr:nvGraphicFramePr>
      <xdr:xfrm>
        <a:off x="0" y="0"/>
        <a:ext cx="0" cy="0"/>
      </xdr:xfrm>
      <a:graphic>
        <a:graphicData uri="http://schemas.openxmlformats.org/drawingml/2006/chart">
          <c:chart r:id="rId25"/>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285750</xdr:colOff>
      <xdr:row>9</xdr:row>
      <xdr:rowOff>409575</xdr:rowOff>
    </xdr:from>
    <xdr:ext cx="5715000" cy="4991100"/>
    <xdr:graphicFrame>
      <xdr:nvGraphicFramePr>
        <xdr:cNvPr id="26" name="Chart 26"/>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238125</xdr:colOff>
      <xdr:row>4</xdr:row>
      <xdr:rowOff>390525</xdr:rowOff>
    </xdr:from>
    <xdr:ext cx="5953125" cy="3314700"/>
    <xdr:graphicFrame>
      <xdr:nvGraphicFramePr>
        <xdr:cNvPr id="27" name="Chart 27"/>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6</xdr:col>
      <xdr:colOff>123825</xdr:colOff>
      <xdr:row>46</xdr:row>
      <xdr:rowOff>438150</xdr:rowOff>
    </xdr:from>
    <xdr:ext cx="5715000" cy="3533775"/>
    <xdr:graphicFrame>
      <xdr:nvGraphicFramePr>
        <xdr:cNvPr id="28" name="Chart 28"/>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2</xdr:col>
      <xdr:colOff>409575</xdr:colOff>
      <xdr:row>109</xdr:row>
      <xdr:rowOff>466725</xdr:rowOff>
    </xdr:from>
    <xdr:ext cx="5715000" cy="3533775"/>
    <xdr:graphicFrame>
      <xdr:nvGraphicFramePr>
        <xdr:cNvPr id="29" name="Chart 29"/>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3</xdr:col>
      <xdr:colOff>247650</xdr:colOff>
      <xdr:row>224</xdr:row>
      <xdr:rowOff>400050</xdr:rowOff>
    </xdr:from>
    <xdr:ext cx="5162550" cy="3171825"/>
    <xdr:graphicFrame>
      <xdr:nvGraphicFramePr>
        <xdr:cNvPr id="30" name="Chart 30"/>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3</xdr:col>
      <xdr:colOff>76200</xdr:colOff>
      <xdr:row>310</xdr:row>
      <xdr:rowOff>371475</xdr:rowOff>
    </xdr:from>
    <xdr:ext cx="4591050" cy="2571750"/>
    <xdr:graphicFrame>
      <xdr:nvGraphicFramePr>
        <xdr:cNvPr id="31" name="Chart 31"/>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0</xdr:col>
      <xdr:colOff>2619375</xdr:colOff>
      <xdr:row>333</xdr:row>
      <xdr:rowOff>342900</xdr:rowOff>
    </xdr:from>
    <xdr:ext cx="7210425" cy="3533775"/>
    <xdr:graphicFrame>
      <xdr:nvGraphicFramePr>
        <xdr:cNvPr id="32" name="Chart 32"/>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2</xdr:col>
      <xdr:colOff>257175</xdr:colOff>
      <xdr:row>358</xdr:row>
      <xdr:rowOff>428625</xdr:rowOff>
    </xdr:from>
    <xdr:ext cx="4333875" cy="2619375"/>
    <xdr:graphicFrame>
      <xdr:nvGraphicFramePr>
        <xdr:cNvPr id="33" name="Chart 33"/>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1</xdr:col>
      <xdr:colOff>1181100</xdr:colOff>
      <xdr:row>404</xdr:row>
      <xdr:rowOff>361950</xdr:rowOff>
    </xdr:from>
    <xdr:ext cx="4457700" cy="2905125"/>
    <xdr:graphicFrame>
      <xdr:nvGraphicFramePr>
        <xdr:cNvPr id="34" name="Chart 34"/>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3</xdr:col>
      <xdr:colOff>285750</xdr:colOff>
      <xdr:row>429</xdr:row>
      <xdr:rowOff>495300</xdr:rowOff>
    </xdr:from>
    <xdr:ext cx="6924675" cy="3781425"/>
    <xdr:graphicFrame>
      <xdr:nvGraphicFramePr>
        <xdr:cNvPr id="35" name="Chart 35"/>
        <xdr:cNvGraphicFramePr/>
      </xdr:nvGraphicFramePr>
      <xdr:xfrm>
        <a:off x="0" y="0"/>
        <a:ext cx="0" cy="0"/>
      </xdr:xfrm>
      <a:graphic>
        <a:graphicData uri="http://schemas.openxmlformats.org/drawingml/2006/chart">
          <c:chart r:id="rId9"/>
        </a:graphicData>
      </a:graphic>
    </xdr:graphicFrame>
    <xdr:clientData fLocksWithSheet="0"/>
  </xdr:oneCellAnchor>
  <xdr:oneCellAnchor>
    <xdr:from>
      <xdr:col>3</xdr:col>
      <xdr:colOff>685800</xdr:colOff>
      <xdr:row>483</xdr:row>
      <xdr:rowOff>495300</xdr:rowOff>
    </xdr:from>
    <xdr:ext cx="5867400" cy="3238500"/>
    <xdr:graphicFrame>
      <xdr:nvGraphicFramePr>
        <xdr:cNvPr id="36" name="Chart 36"/>
        <xdr:cNvGraphicFramePr/>
      </xdr:nvGraphicFramePr>
      <xdr:xfrm>
        <a:off x="0" y="0"/>
        <a:ext cx="0" cy="0"/>
      </xdr:xfrm>
      <a:graphic>
        <a:graphicData uri="http://schemas.openxmlformats.org/drawingml/2006/chart">
          <c:chart r:id="rId10"/>
        </a:graphicData>
      </a:graphic>
    </xdr:graphicFrame>
    <xdr:clientData fLocksWithSheet="0"/>
  </xdr:oneCellAnchor>
  <xdr:oneCellAnchor>
    <xdr:from>
      <xdr:col>3</xdr:col>
      <xdr:colOff>828675</xdr:colOff>
      <xdr:row>596</xdr:row>
      <xdr:rowOff>495300</xdr:rowOff>
    </xdr:from>
    <xdr:ext cx="5715000" cy="3533775"/>
    <xdr:graphicFrame>
      <xdr:nvGraphicFramePr>
        <xdr:cNvPr id="37" name="Chart 37"/>
        <xdr:cNvGraphicFramePr/>
      </xdr:nvGraphicFramePr>
      <xdr:xfrm>
        <a:off x="0" y="0"/>
        <a:ext cx="0" cy="0"/>
      </xdr:xfrm>
      <a:graphic>
        <a:graphicData uri="http://schemas.openxmlformats.org/drawingml/2006/chart">
          <c:chart r:id="rId11"/>
        </a:graphicData>
      </a:graphic>
    </xdr:graphicFrame>
    <xdr:clientData fLocksWithSheet="0"/>
  </xdr:oneCellAnchor>
  <xdr:oneCellAnchor>
    <xdr:from>
      <xdr:col>2</xdr:col>
      <xdr:colOff>895350</xdr:colOff>
      <xdr:row>518</xdr:row>
      <xdr:rowOff>400050</xdr:rowOff>
    </xdr:from>
    <xdr:ext cx="6734175" cy="3533775"/>
    <xdr:graphicFrame>
      <xdr:nvGraphicFramePr>
        <xdr:cNvPr id="38" name="Chart 38"/>
        <xdr:cNvGraphicFramePr/>
      </xdr:nvGraphicFramePr>
      <xdr:xfrm>
        <a:off x="0" y="0"/>
        <a:ext cx="0" cy="0"/>
      </xdr:xfrm>
      <a:graphic>
        <a:graphicData uri="http://schemas.openxmlformats.org/drawingml/2006/chart">
          <c:chart r:id="rId12"/>
        </a:graphicData>
      </a:graphic>
    </xdr:graphicFrame>
    <xdr:clientData fLocksWithSheet="0"/>
  </xdr:oneCellAnchor>
  <xdr:oneCellAnchor>
    <xdr:from>
      <xdr:col>1</xdr:col>
      <xdr:colOff>1057275</xdr:colOff>
      <xdr:row>647</xdr:row>
      <xdr:rowOff>504825</xdr:rowOff>
    </xdr:from>
    <xdr:ext cx="6191250" cy="3676650"/>
    <xdr:graphicFrame>
      <xdr:nvGraphicFramePr>
        <xdr:cNvPr id="39" name="Chart 39"/>
        <xdr:cNvGraphicFramePr/>
      </xdr:nvGraphicFramePr>
      <xdr:xfrm>
        <a:off x="0" y="0"/>
        <a:ext cx="0" cy="0"/>
      </xdr:xfrm>
      <a:graphic>
        <a:graphicData uri="http://schemas.openxmlformats.org/drawingml/2006/chart">
          <c:chart r:id="rId13"/>
        </a:graphicData>
      </a:graphic>
    </xdr:graphicFrame>
    <xdr:clientData fLocksWithSheet="0"/>
  </xdr:oneCellAnchor>
  <xdr:oneCellAnchor>
    <xdr:from>
      <xdr:col>2</xdr:col>
      <xdr:colOff>1143000</xdr:colOff>
      <xdr:row>626</xdr:row>
      <xdr:rowOff>381000</xdr:rowOff>
    </xdr:from>
    <xdr:ext cx="5715000" cy="2952750"/>
    <xdr:graphicFrame>
      <xdr:nvGraphicFramePr>
        <xdr:cNvPr id="40" name="Chart 40"/>
        <xdr:cNvGraphicFramePr/>
      </xdr:nvGraphicFramePr>
      <xdr:xfrm>
        <a:off x="0" y="0"/>
        <a:ext cx="0" cy="0"/>
      </xdr:xfrm>
      <a:graphic>
        <a:graphicData uri="http://schemas.openxmlformats.org/drawingml/2006/chart">
          <c:chart r:id="rId14"/>
        </a:graphicData>
      </a:graphic>
    </xdr:graphicFrame>
    <xdr:clientData fLocksWithSheet="0"/>
  </xdr:oneCellAnchor>
  <xdr:oneCellAnchor>
    <xdr:from>
      <xdr:col>7</xdr:col>
      <xdr:colOff>295275</xdr:colOff>
      <xdr:row>81</xdr:row>
      <xdr:rowOff>457200</xdr:rowOff>
    </xdr:from>
    <xdr:ext cx="5057775" cy="4905375"/>
    <xdr:graphicFrame>
      <xdr:nvGraphicFramePr>
        <xdr:cNvPr id="41" name="Chart 41"/>
        <xdr:cNvGraphicFramePr/>
      </xdr:nvGraphicFramePr>
      <xdr:xfrm>
        <a:off x="0" y="0"/>
        <a:ext cx="0" cy="0"/>
      </xdr:xfrm>
      <a:graphic>
        <a:graphicData uri="http://schemas.openxmlformats.org/drawingml/2006/chart">
          <c:chart r:id="rId15"/>
        </a:graphicData>
      </a:graphic>
    </xdr:graphicFrame>
    <xdr:clientData fLocksWithSheet="0"/>
  </xdr:oneCellAnchor>
  <xdr:oneCellAnchor>
    <xdr:from>
      <xdr:col>0</xdr:col>
      <xdr:colOff>723900</xdr:colOff>
      <xdr:row>694</xdr:row>
      <xdr:rowOff>495300</xdr:rowOff>
    </xdr:from>
    <xdr:ext cx="6010275" cy="3695700"/>
    <xdr:graphicFrame>
      <xdr:nvGraphicFramePr>
        <xdr:cNvPr id="42" name="Chart 42"/>
        <xdr:cNvGraphicFramePr/>
      </xdr:nvGraphicFramePr>
      <xdr:xfrm>
        <a:off x="0" y="0"/>
        <a:ext cx="0" cy="0"/>
      </xdr:xfrm>
      <a:graphic>
        <a:graphicData uri="http://schemas.openxmlformats.org/drawingml/2006/chart">
          <c:chart r:id="rId16"/>
        </a:graphicData>
      </a:graphic>
    </xdr:graphicFrame>
    <xdr:clientData fLocksWithSheet="0"/>
  </xdr:oneCellAnchor>
  <xdr:oneCellAnchor>
    <xdr:from>
      <xdr:col>3</xdr:col>
      <xdr:colOff>323850</xdr:colOff>
      <xdr:row>459</xdr:row>
      <xdr:rowOff>533400</xdr:rowOff>
    </xdr:from>
    <xdr:ext cx="6696075" cy="3371850"/>
    <xdr:graphicFrame>
      <xdr:nvGraphicFramePr>
        <xdr:cNvPr id="43" name="Chart 43"/>
        <xdr:cNvGraphicFramePr/>
      </xdr:nvGraphicFramePr>
      <xdr:xfrm>
        <a:off x="0" y="0"/>
        <a:ext cx="0" cy="0"/>
      </xdr:xfrm>
      <a:graphic>
        <a:graphicData uri="http://schemas.openxmlformats.org/drawingml/2006/chart">
          <c:chart r:id="rId17"/>
        </a:graphicData>
      </a:graphic>
    </xdr:graphicFrame>
    <xdr:clientData fLocksWithSheet="0"/>
  </xdr:oneCellAnchor>
  <xdr:oneCellAnchor>
    <xdr:from>
      <xdr:col>0</xdr:col>
      <xdr:colOff>361950</xdr:colOff>
      <xdr:row>35</xdr:row>
      <xdr:rowOff>352425</xdr:rowOff>
    </xdr:from>
    <xdr:ext cx="4991100" cy="2057400"/>
    <xdr:graphicFrame>
      <xdr:nvGraphicFramePr>
        <xdr:cNvPr id="44" name="Chart 44"/>
        <xdr:cNvGraphicFramePr/>
      </xdr:nvGraphicFramePr>
      <xdr:xfrm>
        <a:off x="0" y="0"/>
        <a:ext cx="0" cy="0"/>
      </xdr:xfrm>
      <a:graphic>
        <a:graphicData uri="http://schemas.openxmlformats.org/drawingml/2006/chart">
          <c:chart r:id="rId18"/>
        </a:graphicData>
      </a:graphic>
    </xdr:graphicFrame>
    <xdr:clientData fLocksWithSheet="0"/>
  </xdr:oneCellAnchor>
  <xdr:oneCellAnchor>
    <xdr:from>
      <xdr:col>5</xdr:col>
      <xdr:colOff>466725</xdr:colOff>
      <xdr:row>32</xdr:row>
      <xdr:rowOff>609600</xdr:rowOff>
    </xdr:from>
    <xdr:ext cx="4895850" cy="1838325"/>
    <xdr:graphicFrame>
      <xdr:nvGraphicFramePr>
        <xdr:cNvPr id="45" name="Chart 45"/>
        <xdr:cNvGraphicFramePr/>
      </xdr:nvGraphicFramePr>
      <xdr:xfrm>
        <a:off x="0" y="0"/>
        <a:ext cx="0" cy="0"/>
      </xdr:xfrm>
      <a:graphic>
        <a:graphicData uri="http://schemas.openxmlformats.org/drawingml/2006/chart">
          <c:chart r:id="rId19"/>
        </a:graphicData>
      </a:graphic>
    </xdr:graphicFrame>
    <xdr:clientData fLocksWithSheet="0"/>
  </xdr:oneCellAnchor>
  <xdr:oneCellAnchor>
    <xdr:from>
      <xdr:col>5</xdr:col>
      <xdr:colOff>419100</xdr:colOff>
      <xdr:row>56</xdr:row>
      <xdr:rowOff>400050</xdr:rowOff>
    </xdr:from>
    <xdr:ext cx="6715125" cy="3533775"/>
    <xdr:graphicFrame>
      <xdr:nvGraphicFramePr>
        <xdr:cNvPr id="46" name="Chart 46"/>
        <xdr:cNvGraphicFramePr/>
      </xdr:nvGraphicFramePr>
      <xdr:xfrm>
        <a:off x="0" y="0"/>
        <a:ext cx="0" cy="0"/>
      </xdr:xfrm>
      <a:graphic>
        <a:graphicData uri="http://schemas.openxmlformats.org/drawingml/2006/chart">
          <c:chart r:id="rId20"/>
        </a:graphicData>
      </a:graphic>
    </xdr:graphicFrame>
    <xdr:clientData fLocksWithSheet="0"/>
  </xdr:oneCellAnchor>
  <xdr:oneCellAnchor>
    <xdr:from>
      <xdr:col>3</xdr:col>
      <xdr:colOff>333375</xdr:colOff>
      <xdr:row>547</xdr:row>
      <xdr:rowOff>371475</xdr:rowOff>
    </xdr:from>
    <xdr:ext cx="5715000" cy="3133725"/>
    <xdr:graphicFrame>
      <xdr:nvGraphicFramePr>
        <xdr:cNvPr id="47" name="Chart 47"/>
        <xdr:cNvGraphicFramePr/>
      </xdr:nvGraphicFramePr>
      <xdr:xfrm>
        <a:off x="0" y="0"/>
        <a:ext cx="0" cy="0"/>
      </xdr:xfrm>
      <a:graphic>
        <a:graphicData uri="http://schemas.openxmlformats.org/drawingml/2006/chart">
          <c:chart r:id="rId21"/>
        </a:graphicData>
      </a:graphic>
    </xdr:graphicFrame>
    <xdr:clientData fLocksWithSheet="0"/>
  </xdr:oneCellAnchor>
  <xdr:oneCellAnchor>
    <xdr:from>
      <xdr:col>4</xdr:col>
      <xdr:colOff>666750</xdr:colOff>
      <xdr:row>379</xdr:row>
      <xdr:rowOff>390525</xdr:rowOff>
    </xdr:from>
    <xdr:ext cx="5715000" cy="3533775"/>
    <xdr:graphicFrame>
      <xdr:nvGraphicFramePr>
        <xdr:cNvPr id="48" name="Chart 48"/>
        <xdr:cNvGraphicFramePr/>
      </xdr:nvGraphicFramePr>
      <xdr:xfrm>
        <a:off x="0" y="0"/>
        <a:ext cx="0" cy="0"/>
      </xdr:xfrm>
      <a:graphic>
        <a:graphicData uri="http://schemas.openxmlformats.org/drawingml/2006/chart">
          <c:chart r:id="rId22"/>
        </a:graphicData>
      </a:graphic>
    </xdr:graphicFrame>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docs.google.com/viewer?a=v&amp;pid=explorer&amp;chrome=true&amp;srcid=0B6dKdxaNjBENZmU2ZjQ2ZmUtMTg5My00NzM3LWJmYTAtYTA1MTk3NWVlNDZm&amp;hl=en_US" TargetMode="External"/><Relationship Id="rId42" Type="http://schemas.openxmlformats.org/officeDocument/2006/relationships/hyperlink" Target="https://docs.google.com/viewer?a=v&amp;pid=explorer&amp;chrome=true&amp;srcid=0B6dKdxaNjBENMGQzZDgxZWYtZTc2Yi00YzgyLWIyZGEtZDQyMmMyYjEwY2Nj&amp;hl=en_US" TargetMode="External"/><Relationship Id="rId41" Type="http://schemas.openxmlformats.org/officeDocument/2006/relationships/hyperlink" Target="https://docs.google.com/viewer?a=v&amp;pid=explorer&amp;chrome=true&amp;srcid=0B6dKdxaNjBENZjc2ZjM5ZTEtYjBhMS00MmJiLTg5NjYtYTk2MDViYWE1ZGU4&amp;hl=en_US" TargetMode="External"/><Relationship Id="rId44" Type="http://schemas.openxmlformats.org/officeDocument/2006/relationships/hyperlink" Target="https://docs.google.com/file/d/0Bw8z7TlbmHSJby1DVGpKMFhhV0k/edit" TargetMode="External"/><Relationship Id="rId43" Type="http://schemas.openxmlformats.org/officeDocument/2006/relationships/hyperlink" Target="https://docs.google.com/viewer?a=v&amp;pid=explorer&amp;chrome=true&amp;srcid=0B6dKdxaNjBENZjFhMzJjMmYtZjBjNy00NzkyLWFkZjktMjNlMWUxMDU5N2E3&amp;hl=en_US" TargetMode="External"/><Relationship Id="rId46" Type="http://schemas.openxmlformats.org/officeDocument/2006/relationships/hyperlink" Target="https://docs.google.com/viewer?a=v&amp;pid=explorer&amp;chrome=true&amp;srcid=0B6dKdxaNjBENMWNiNjA2ZDMtMDk5Mi00MTdlLThjOTUtNTk2MmRjY2JiNjY0&amp;hl=en_US" TargetMode="External"/><Relationship Id="rId45" Type="http://schemas.openxmlformats.org/officeDocument/2006/relationships/hyperlink" Target="https://docs.google.com/viewer?a=v&amp;pid=explorer&amp;chrome=true&amp;srcid=0B6dKdxaNjBENZWQwOWI5ZWMtMGY3Mi00ZTg3LTlkZjMtNDAwYTM4Nzk3NTky&amp;hl=en_US" TargetMode="External"/><Relationship Id="rId48" Type="http://schemas.openxmlformats.org/officeDocument/2006/relationships/hyperlink" Target="https://docs.google.com/viewer?a=v&amp;pid=explorer&amp;chrome=true&amp;srcid=0B6dKdxaNjBENMDdlYzZmMzUtYTMxNC00OTU2LTgzZDMtZDM2OWVhYjgxZDM1&amp;hl=en_US" TargetMode="External"/><Relationship Id="rId47" Type="http://schemas.openxmlformats.org/officeDocument/2006/relationships/hyperlink" Target="https://docs.google.com/viewer?a=v&amp;pid=explorer&amp;chrome=true&amp;srcid=0B6dKdxaNjBENNzFjODRmYzUtMzAyZC00ZWNkLWJiM2QtZmI5YzQ0ZjY2Njkx&amp;hl=en_US" TargetMode="External"/><Relationship Id="rId49" Type="http://schemas.openxmlformats.org/officeDocument/2006/relationships/hyperlink" Target="https://docs.google.com/file/d/0B6dKdxaNjBENemJKM1EwY3pkXzg/edit" TargetMode="External"/><Relationship Id="rId100" Type="http://schemas.openxmlformats.org/officeDocument/2006/relationships/vmlDrawing" Target="../drawings/vmlDrawing1.vml"/><Relationship Id="rId31" Type="http://schemas.openxmlformats.org/officeDocument/2006/relationships/hyperlink" Target="https://docs.google.com/file/d/0B6dKdxaNjBENQ25FbzhwaDhTc00/edit" TargetMode="External"/><Relationship Id="rId30" Type="http://schemas.openxmlformats.org/officeDocument/2006/relationships/hyperlink" Target="https://docs.google.com/file/d/0B6dKdxaNjBENVnhsbEhIVmhvcE0/edit" TargetMode="External"/><Relationship Id="rId33" Type="http://schemas.openxmlformats.org/officeDocument/2006/relationships/hyperlink" Target="https://docs.google.com/viewer?a=v&amp;pid=explorer&amp;chrome=true&amp;srcid=0B6dKdxaNjBENNjNhNjQ3MzUtMDllZC00YzI4LWJlZmQtYzc5OTFkNzM2YWQw&amp;hl=en_US" TargetMode="External"/><Relationship Id="rId32" Type="http://schemas.openxmlformats.org/officeDocument/2006/relationships/hyperlink" Target="https://docs.google.com/viewer?a=v&amp;pid=explorer&amp;chrome=true&amp;srcid=0B6dKdxaNjBENZTAxMzdhYzQtNDZiYi00ZWJhLWJiZjItMzVlZDMzZjc2NTdl&amp;hl=en_US" TargetMode="External"/><Relationship Id="rId35" Type="http://schemas.openxmlformats.org/officeDocument/2006/relationships/hyperlink" Target="https://docs.google.com/viewer?a=v&amp;pid=explorer&amp;chrome=true&amp;srcid=0B6dKdxaNjBENMzY0OGNmMDUtOTliOS00NTc0LWE4ZmYtYTA5OTUxYThjOTZi&amp;hl=en_US" TargetMode="External"/><Relationship Id="rId34" Type="http://schemas.openxmlformats.org/officeDocument/2006/relationships/hyperlink" Target="https://docs.google.com/viewer?a=v&amp;pid=explorer&amp;chrome=true&amp;srcid=0B6dKdxaNjBENYmJkYjE3YWYtN2I0NC00ZGRiLTllZDAtNjA1MjhjZTdmMzE5&amp;hl=en_US" TargetMode="External"/><Relationship Id="rId37" Type="http://schemas.openxmlformats.org/officeDocument/2006/relationships/hyperlink" Target="https://docs.google.com/file/d/0Bw8z7TlbmHSJS1F5RWdjQ3QzWDg/edit" TargetMode="External"/><Relationship Id="rId36" Type="http://schemas.openxmlformats.org/officeDocument/2006/relationships/hyperlink" Target="https://docs.google.com/file/d/0Bw8z7TlbmHSJT2R4SlJhMTlEQ1U/edit" TargetMode="External"/><Relationship Id="rId39" Type="http://schemas.openxmlformats.org/officeDocument/2006/relationships/hyperlink" Target="https://docs.google.com/viewer?a=v&amp;pid=explorer&amp;chrome=true&amp;srcid=0B6dKdxaNjBENNDRkNzE2YzgtZjA1OC00YzY5LWIxOTItYWJmNjI3OWYyNTkx&amp;hl=en_US" TargetMode="External"/><Relationship Id="rId38" Type="http://schemas.openxmlformats.org/officeDocument/2006/relationships/hyperlink" Target="https://docs.google.com/viewer?a=v&amp;pid=explorer&amp;chrome=true&amp;srcid=0B6dKdxaNjBENMjgzMTQ4ZDMtYzUyNy00ZGRjLTg4MGEtNTVhY2NiZmY3NmRh&amp;hl=en_US" TargetMode="External"/><Relationship Id="rId20" Type="http://schemas.openxmlformats.org/officeDocument/2006/relationships/hyperlink" Target="https://docs.google.com/file/d/0B6dKdxaNjBENOURlYjM2MHBUa0U/edit" TargetMode="External"/><Relationship Id="rId22" Type="http://schemas.openxmlformats.org/officeDocument/2006/relationships/hyperlink" Target="https://docs.google.com/viewer?a=v&amp;pid=explorer&amp;chrome=true&amp;srcid=0B6dKdxaNjBENM2E3Yjg2NTItMGRjMy00MTk0LTgzZTgtNzFjOGJkMzlmMDMx&amp;hl=en_US" TargetMode="External"/><Relationship Id="rId21" Type="http://schemas.openxmlformats.org/officeDocument/2006/relationships/hyperlink" Target="https://docs.google.com/file/d/0Bw8z7TlbmHSJR2F6SUJ2Q21pT3M/edit" TargetMode="External"/><Relationship Id="rId24" Type="http://schemas.openxmlformats.org/officeDocument/2006/relationships/hyperlink" Target="https://docs.google.com/viewer?a=v&amp;pid=explorer&amp;chrome=true&amp;srcid=0B6dKdxaNjBENMTIyNmRiYTEtOGVhNi00YmQyLTk0NjYtYmFmMWUxNzhjNWFi&amp;hl=en_US" TargetMode="External"/><Relationship Id="rId23" Type="http://schemas.openxmlformats.org/officeDocument/2006/relationships/hyperlink" Target="https://docs.google.com/viewer?a=v&amp;pid=explorer&amp;chrome=true&amp;srcid=0B6dKdxaNjBENYmFmYmUwMDEtMGM1Yy00ZjBmLTg3NTMtMzgxODk4YWNjNmY1&amp;hl=en_US" TargetMode="External"/><Relationship Id="rId26" Type="http://schemas.openxmlformats.org/officeDocument/2006/relationships/hyperlink" Target="https://docs.google.com/viewer?a=v&amp;pid=explorer&amp;chrome=true&amp;srcid=0B6dKdxaNjBENYmUyMjNhNzgtYmE4MC00MGQ0LTk5YTUtN2I3NTlhNDEwZDdl&amp;hl=en_US" TargetMode="External"/><Relationship Id="rId25" Type="http://schemas.openxmlformats.org/officeDocument/2006/relationships/hyperlink" Target="https://docs.google.com/viewer?a=v&amp;pid=explorer&amp;chrome=true&amp;srcid=0B6dKdxaNjBENMTYwNDc1ODctMDRlNi00MGE2LWIwZjItODEwMTk1YTdmYjQy&amp;hl=en_US" TargetMode="External"/><Relationship Id="rId28" Type="http://schemas.openxmlformats.org/officeDocument/2006/relationships/hyperlink" Target="https://docs.google.com/viewer?a=v&amp;pid=explorer&amp;chrome=true&amp;srcid=0B6dKdxaNjBENMjBhOGI4OTctZWIxNS00Y2Q1LTkzNmYtYTdjMTU1YmQ5NDFh&amp;hl=en_US" TargetMode="External"/><Relationship Id="rId27" Type="http://schemas.openxmlformats.org/officeDocument/2006/relationships/hyperlink" Target="https://docs.google.com/viewer?a=v&amp;pid=explorer&amp;chrome=true&amp;srcid=0B6dKdxaNjBENNjhhNmE0MDctYWJiZC00NTI3LWIyODgtMGE4Nzg0MWZhMWI0&amp;hl=en_US" TargetMode="External"/><Relationship Id="rId29" Type="http://schemas.openxmlformats.org/officeDocument/2006/relationships/hyperlink" Target="https://docs.google.com/file/d/0BzWeYCv5rkkzNVk1U3VqX2xXaUE/edit" TargetMode="External"/><Relationship Id="rId95" Type="http://schemas.openxmlformats.org/officeDocument/2006/relationships/hyperlink" Target="https://docs.google.com/file/d/0Bw8z7TlbmHSJNzdFckEzcUFQUW8/edit" TargetMode="External"/><Relationship Id="rId94" Type="http://schemas.openxmlformats.org/officeDocument/2006/relationships/hyperlink" Target="https://docs.google.com/viewer?a=v&amp;pid=explorer&amp;chrome=true&amp;srcid=0B6dKdxaNjBENMzJkYTg0NDYtYzNiMC00NjFjLThkNjctY2I1NjVhMGE0MmU0&amp;hl=en_US" TargetMode="External"/><Relationship Id="rId97" Type="http://schemas.openxmlformats.org/officeDocument/2006/relationships/hyperlink" Target="https://docs.google.com/viewer?a=v&amp;pid=explorer&amp;chrome=true&amp;srcid=0B6dKdxaNjBENYzVmMTMwMmQtMjkyYy00MzM3LWI2OWEtNGU2NmRkYWE3NGE4&amp;hl=en_US" TargetMode="External"/><Relationship Id="rId96" Type="http://schemas.openxmlformats.org/officeDocument/2006/relationships/hyperlink" Target="https://docs.google.com/file/d/0Bw8z7TlbmHSJNU5YTmNKNU5tdG8/edit" TargetMode="External"/><Relationship Id="rId11" Type="http://schemas.openxmlformats.org/officeDocument/2006/relationships/hyperlink" Target="https://docs.google.com/viewer?a=v&amp;pid=explorer&amp;chrome=true&amp;srcid=0B6dKdxaNjBENYWYzYzkyZTgtNTc1YS00Mzk0LWJjNWQtOWYwYTM5M2MxYmE0&amp;hl=en_US" TargetMode="External"/><Relationship Id="rId99" Type="http://schemas.openxmlformats.org/officeDocument/2006/relationships/drawing" Target="../drawings/drawing1.xml"/><Relationship Id="rId10" Type="http://schemas.openxmlformats.org/officeDocument/2006/relationships/hyperlink" Target="https://docs.google.com/file/d/0B6dKdxaNjBENX2h6bjlDVEF3MlE/edit" TargetMode="External"/><Relationship Id="rId98" Type="http://schemas.openxmlformats.org/officeDocument/2006/relationships/hyperlink" Target="https://docs.google.com/viewer?a=v&amp;pid=explorer&amp;chrome=true&amp;srcid=0B6dKdxaNjBENMmVmMjA5YTktODJhOS00Y2IxLWExMzEtZWM0MDczODA4MjUx&amp;hl=en_US" TargetMode="External"/><Relationship Id="rId13" Type="http://schemas.openxmlformats.org/officeDocument/2006/relationships/hyperlink" Target="https://docs.google.com/viewer?a=v&amp;pid=explorer&amp;chrome=true&amp;srcid=0B6dKdxaNjBENZjgwZmE2MzgtM2YxMy00YmE3LTg2OGEtMDk5ZjJkNWE1ZWNi&amp;hl=en_US" TargetMode="External"/><Relationship Id="rId12" Type="http://schemas.openxmlformats.org/officeDocument/2006/relationships/hyperlink" Target="https://docs.google.com/viewer?a=v&amp;pid=explorer&amp;chrome=true&amp;srcid=0B6dKdxaNjBENNDAyYzNjNGItMzRhYS00NThlLWEwMmMtMmE2OGE0YWNkODli&amp;hl=en_US" TargetMode="External"/><Relationship Id="rId91" Type="http://schemas.openxmlformats.org/officeDocument/2006/relationships/hyperlink" Target="https://docs.google.com/file/d/0BzWeYCv5rkkzZnVMYmRsa2JMazg/edit" TargetMode="External"/><Relationship Id="rId90" Type="http://schemas.openxmlformats.org/officeDocument/2006/relationships/hyperlink" Target="https://docs.google.com/viewer?a=v&amp;pid=explorer&amp;chrome=true&amp;srcid=0B6dKdxaNjBENOTA0NDJkNGQtODE5MS00YzlhLWIyODctMzJiMTA4YWE4ZmVl&amp;hl=en_US" TargetMode="External"/><Relationship Id="rId93" Type="http://schemas.openxmlformats.org/officeDocument/2006/relationships/hyperlink" Target="https://docs.google.com/viewer?a=v&amp;pid=explorer&amp;chrome=true&amp;srcid=0B6dKdxaNjBENNWIxZGFmMmYtODQwMC00MDU3LTk0YTEtZjc3M2I1M2UyMjYw&amp;hl=en_US" TargetMode="External"/><Relationship Id="rId92" Type="http://schemas.openxmlformats.org/officeDocument/2006/relationships/hyperlink" Target="https://docs.google.com/viewer?a=v&amp;pid=explorer&amp;chrome=true&amp;srcid=0B6dKdxaNjBENZjVhZWQyOTUtOGY2ZC00NmU4LWIzYTMtZjMyOThhOWY0MWYw&amp;hl=en_US" TargetMode="External"/><Relationship Id="rId15" Type="http://schemas.openxmlformats.org/officeDocument/2006/relationships/hyperlink" Target="https://docs.google.com/viewer?a=v&amp;pid=explorer&amp;chrome=true&amp;srcid=0B6dKdxaNjBENYmIwMzQyNmItYTc3Mi00MGZhLThjOTMtZTYyMGZmNGYwMTA3&amp;hl=en_US" TargetMode="External"/><Relationship Id="rId14" Type="http://schemas.openxmlformats.org/officeDocument/2006/relationships/hyperlink" Target="https://docs.google.com/viewer?a=v&amp;pid=explorer&amp;chrome=true&amp;srcid=0B6dKdxaNjBENMGYzY2EwMDAtZjg0My00MzY1LTlkNWMtYzcyYmVkMDdiYTZl&amp;hl=en_US" TargetMode="External"/><Relationship Id="rId17" Type="http://schemas.openxmlformats.org/officeDocument/2006/relationships/hyperlink" Target="https://docs.google.com/viewer?a=v&amp;pid=explorer&amp;chrome=true&amp;srcid=0B6dKdxaNjBENY2NmODQzMmMtMDdmYi00YmU1LWI4OWMtZjY0MDVmNWVhODc1&amp;hl=en_US" TargetMode="External"/><Relationship Id="rId16" Type="http://schemas.openxmlformats.org/officeDocument/2006/relationships/hyperlink" Target="https://docs.google.com/viewer?a=v&amp;pid=explorer&amp;chrome=true&amp;srcid=0B6dKdxaNjBENNDA1MTdkMjYtZDlmMC00ODUwLWFmYWYtYzA5NTEzYjkzYjNk&amp;hl=en_US" TargetMode="External"/><Relationship Id="rId19" Type="http://schemas.openxmlformats.org/officeDocument/2006/relationships/hyperlink" Target="https://docs.google.com/viewer?a=v&amp;pid=explorer&amp;chrome=true&amp;srcid=0B6dKdxaNjBENN2RiOTRmYjQtMjlhMS00NzYwLWI2MmItZGMwZDdmYTg2MGRi&amp;hl=en_US" TargetMode="External"/><Relationship Id="rId18" Type="http://schemas.openxmlformats.org/officeDocument/2006/relationships/hyperlink" Target="https://docs.google.com/file/d/0Bw8z7TlbmHSJemZoWlVfeXdqQTA/edit" TargetMode="External"/><Relationship Id="rId84" Type="http://schemas.openxmlformats.org/officeDocument/2006/relationships/hyperlink" Target="https://docs.google.com/viewer?a=v&amp;pid=explorer&amp;chrome=true&amp;srcid=0B6dKdxaNjBENNWEzNGNiYjQtMTUwMC00ZDY2LTkyNzctM2JmNmQ4YTE4NzJj&amp;hl=en_US" TargetMode="External"/><Relationship Id="rId83" Type="http://schemas.openxmlformats.org/officeDocument/2006/relationships/hyperlink" Target="https://docs.google.com/viewer?a=v&amp;pid=explorer&amp;chrome=true&amp;srcid=0B6dKdxaNjBENODBlY2EzYTMtYzE1ZC00MjQxLWJjN2QtZDUwM2YyZWEzMGJm&amp;hl=en_US" TargetMode="External"/><Relationship Id="rId86" Type="http://schemas.openxmlformats.org/officeDocument/2006/relationships/hyperlink" Target="https://docs.google.com/viewer?a=v&amp;pid=explorer&amp;chrome=true&amp;srcid=0B6dKdxaNjBENMmVkZjI1ZjYtM2E0Ni00NDIzLThkZjQtNDUyOWY0Y2QwNTNl&amp;hl=en_US" TargetMode="External"/><Relationship Id="rId85" Type="http://schemas.openxmlformats.org/officeDocument/2006/relationships/hyperlink" Target="http://widgets.com" TargetMode="External"/><Relationship Id="rId88" Type="http://schemas.openxmlformats.org/officeDocument/2006/relationships/hyperlink" Target="https://docs.google.com/viewer?a=v&amp;pid=explorer&amp;chrome=true&amp;srcid=0B6dKdxaNjBENNDNhMjQ2OWUtYTgwMC00MDBlLWJhOGItN2JmNzdjMDhjNWFi&amp;hl=en_US" TargetMode="External"/><Relationship Id="rId87" Type="http://schemas.openxmlformats.org/officeDocument/2006/relationships/hyperlink" Target="https://docs.google.com/file/d/0Bw8z7TlbmHSJai10S2x0LTRIMUU/edit" TargetMode="External"/><Relationship Id="rId89" Type="http://schemas.openxmlformats.org/officeDocument/2006/relationships/hyperlink" Target="https://docs.google.com/viewer?a=v&amp;pid=explorer&amp;chrome=true&amp;srcid=0B6dKdxaNjBENMDM3YjM2YjAtODljNS00NGI1LTgzNTUtYTVmY2Q4YjE2Y2Mx&amp;hl=en_US" TargetMode="External"/><Relationship Id="rId80" Type="http://schemas.openxmlformats.org/officeDocument/2006/relationships/hyperlink" Target="https://docs.google.com/viewer?a=v&amp;pid=explorer&amp;chrome=true&amp;srcid=0B6dKdxaNjBENZWUxYTYyZTktYjQ2Ni00NzVhLWI3NTItZjE1MzhmMmFiOWQ1&amp;hl=en_US" TargetMode="External"/><Relationship Id="rId82" Type="http://schemas.openxmlformats.org/officeDocument/2006/relationships/hyperlink" Target="https://docs.google.com/viewer?a=v&amp;pid=explorer&amp;chrome=true&amp;srcid=0B6dKdxaNjBENYTE5Njk5MWQtY2E0Mi00ZWE3LTg2YWItZTEwM2E3N2U3ODc5&amp;hl=en_US" TargetMode="External"/><Relationship Id="rId81" Type="http://schemas.openxmlformats.org/officeDocument/2006/relationships/hyperlink" Target="https://docs.google.com/viewer?a=v&amp;pid=explorer&amp;chrome=true&amp;srcid=0B6dKdxaNjBENNmFjMTU2YWItMjc5OS00MGFmLWIxNjItYTEyNWRkOTgxYTZk&amp;hl=en_US" TargetMode="External"/><Relationship Id="rId1" Type="http://schemas.openxmlformats.org/officeDocument/2006/relationships/comments" Target="../comments1.xml"/><Relationship Id="rId2" Type="http://schemas.openxmlformats.org/officeDocument/2006/relationships/hyperlink" Target="https://docs.google.com/viewer?a=v&amp;pid=explorer&amp;chrome=true&amp;srcid=0B6dKdxaNjBENMmZlZjU1NjctYzQzMC00MzBhLTg0NTEtZTRjM2FkZDk5YmIz&amp;hl=en_US" TargetMode="External"/><Relationship Id="rId3" Type="http://schemas.openxmlformats.org/officeDocument/2006/relationships/hyperlink" Target="https://docs.google.com/viewer?a=v&amp;pid=explorer&amp;chrome=true&amp;srcid=0B6dKdxaNjBENMjI4MWFkZGYtYjhhNS00YThhLWE4NTktZjg3Y2I5MjExODJm&amp;hl=en_US" TargetMode="External"/><Relationship Id="rId4" Type="http://schemas.openxmlformats.org/officeDocument/2006/relationships/hyperlink" Target="https://docs.google.com/viewer?a=v&amp;pid=explorer&amp;chrome=true&amp;srcid=0B6dKdxaNjBENOTYxMmYwNDktMmU1Yy00NjRjLWI0YmQtZTAzNWExOWQzMTky&amp;hl=en_US" TargetMode="External"/><Relationship Id="rId9" Type="http://schemas.openxmlformats.org/officeDocument/2006/relationships/hyperlink" Target="https://docs.google.com/viewer?a=v&amp;pid=explorer&amp;chrome=true&amp;srcid=0B6dKdxaNjBENZTk5YTFmYmEtYjZiNy00MmFjLTlhNjEtOWRiNzA3M2ZiOGY1&amp;hl=en_US" TargetMode="External"/><Relationship Id="rId5" Type="http://schemas.openxmlformats.org/officeDocument/2006/relationships/hyperlink" Target="https://docs.google.com/viewer?a=v&amp;pid=explorer&amp;chrome=true&amp;srcid=0B6dKdxaNjBENOGYxM2Q0NjMtZjVlMC00NDVlLWFmZDAtNjQwZTlhMTY0YWEw&amp;hl=en_US" TargetMode="External"/><Relationship Id="rId6" Type="http://schemas.openxmlformats.org/officeDocument/2006/relationships/hyperlink" Target="https://docs.google.com/viewer?a=v&amp;pid=explorer&amp;chrome=true&amp;srcid=0B6dKdxaNjBENMzY5MWQ4MWEtMDZmNy00ZmMyLWE3YmEtYTFmYTEzMmRjNDc0&amp;hl=en_US" TargetMode="External"/><Relationship Id="rId7" Type="http://schemas.openxmlformats.org/officeDocument/2006/relationships/hyperlink" Target="https://docs.google.com/viewer?a=v&amp;pid=explorer&amp;chrome=true&amp;srcid=0B6dKdxaNjBENMDliMWQ4YWItOTcwOC00OGZmLWI0OTAtNzQ1ZTE4OWVmZDU3&amp;hl=en_US" TargetMode="External"/><Relationship Id="rId8" Type="http://schemas.openxmlformats.org/officeDocument/2006/relationships/hyperlink" Target="https://docs.google.com/file/d/0Bw8z7TlbmHSJc1ZpblNoQlRzN00/edit" TargetMode="External"/><Relationship Id="rId73" Type="http://schemas.openxmlformats.org/officeDocument/2006/relationships/hyperlink" Target="https://docs.google.com/viewer?a=v&amp;pid=explorer&amp;chrome=true&amp;srcid=0B6dKdxaNjBENNmIyNzRlNWYtNzI2Ny00MzBhLTk3YjctY2JjODkzNTA2NDFi&amp;hl=en_US" TargetMode="External"/><Relationship Id="rId72" Type="http://schemas.openxmlformats.org/officeDocument/2006/relationships/hyperlink" Target="https://docs.google.com/viewer?a=v&amp;pid=explorer&amp;chrome=true&amp;srcid=0B6dKdxaNjBENNTg3NTJmYzQtYjlmMC00OGQ1LWI2NWItNWZkMDRkMDE1ZDQ2&amp;hl=en_US" TargetMode="External"/><Relationship Id="rId75" Type="http://schemas.openxmlformats.org/officeDocument/2006/relationships/hyperlink" Target="https://docs.google.com/viewer?a=v&amp;pid=explorer&amp;chrome=true&amp;srcid=0B6dKdxaNjBENOTdlNzdhYjAtNjIyNy00Nzc5LWFjYWItNzUxYWZkNWE5ZmVi&amp;hl=en_US" TargetMode="External"/><Relationship Id="rId74" Type="http://schemas.openxmlformats.org/officeDocument/2006/relationships/hyperlink" Target="https://docs.google.com/viewer?a=v&amp;pid=explorer&amp;chrome=true&amp;srcid=0B6dKdxaNjBENNWVlMDg4YmMtNThmNS00OTk2LWJlMmYtNmI5NzViYjk1OTQy&amp;hl=en_US" TargetMode="External"/><Relationship Id="rId77" Type="http://schemas.openxmlformats.org/officeDocument/2006/relationships/hyperlink" Target="https://docs.google.com/file/d/0BzWeYCv5rkkzUThMS3dwR090Nm8/edit" TargetMode="External"/><Relationship Id="rId76" Type="http://schemas.openxmlformats.org/officeDocument/2006/relationships/hyperlink" Target="https://docs.google.com/viewer?a=v&amp;pid=explorer&amp;chrome=true&amp;srcid=0B6dKdxaNjBENNzUyYTQ4YTYtNDg3NS00ZGQ3LTk0MzgtMzE4OGJkYzM1ZjBj&amp;hl=en_US" TargetMode="External"/><Relationship Id="rId79" Type="http://schemas.openxmlformats.org/officeDocument/2006/relationships/hyperlink" Target="https://docs.google.com/viewer?a=v&amp;pid=explorer&amp;chrome=true&amp;srcid=0B6dKdxaNjBENNTIzMDBjOWItNTYxMS00ZDFhLTk4MDYtNjM1MjRiMGJjMGY5&amp;hl=en_US" TargetMode="External"/><Relationship Id="rId78" Type="http://schemas.openxmlformats.org/officeDocument/2006/relationships/hyperlink" Target="https://docs.google.com/viewer?a=v&amp;pid=explorer&amp;chrome=true&amp;srcid=0B6dKdxaNjBENYWM4YmM5NWYtNmNlMi00MjUwLWFmZWQtOTBkOGIxYjhjNGVj&amp;hl=en_US" TargetMode="External"/><Relationship Id="rId71" Type="http://schemas.openxmlformats.org/officeDocument/2006/relationships/hyperlink" Target="https://docs.google.com/viewer?a=v&amp;pid=explorer&amp;chrome=true&amp;srcid=0B6dKdxaNjBENNTlkNTFkZjItODgxYS00YTI1LWEzMDMtZWNlNDE1M2ZiMThi&amp;hl=en_US" TargetMode="External"/><Relationship Id="rId70" Type="http://schemas.openxmlformats.org/officeDocument/2006/relationships/hyperlink" Target="https://docs.google.com/viewer?a=v&amp;pid=explorer&amp;chrome=true&amp;srcid=0B6dKdxaNjBENZTdmMjI1NTItYTNhZi00NTRjLTg4MmQtNWQ1ZjMwZWMyNzI0&amp;hl=en_US" TargetMode="External"/><Relationship Id="rId62" Type="http://schemas.openxmlformats.org/officeDocument/2006/relationships/hyperlink" Target="https://docs.google.com/file/d/0Bw8z7TlbmHSJWGxiNkxBRkZaNEE/edit" TargetMode="External"/><Relationship Id="rId61" Type="http://schemas.openxmlformats.org/officeDocument/2006/relationships/hyperlink" Target="https://docs.google.com/file/d/0Bw8z7TlbmHSJV1lodEp5M0tjVjQ/edit" TargetMode="External"/><Relationship Id="rId64" Type="http://schemas.openxmlformats.org/officeDocument/2006/relationships/hyperlink" Target="http://www.slideshare.net/exKAZUu/pogen-a-test-code-generator-based-on-template-variable-coverage-in-graybox-integration-testing-for-web-applications" TargetMode="External"/><Relationship Id="rId63" Type="http://schemas.openxmlformats.org/officeDocument/2006/relationships/hyperlink" Target="https://docs.google.com/viewer?a=v&amp;pid=explorer&amp;chrome=true&amp;srcid=0B6dKdxaNjBENMzIxYWRiMTgtZDJjMi00ZDg5LThmZGYtMTgyY2U3MDBlOTNm&amp;hl=en_US" TargetMode="External"/><Relationship Id="rId66" Type="http://schemas.openxmlformats.org/officeDocument/2006/relationships/hyperlink" Target="https://docs.google.com/viewer?a=v&amp;pid=explorer&amp;chrome=true&amp;srcid=0B6dKdxaNjBENZTliM2Q1NzQtZDc4Ny00Mjg2LWE4MDMtNTc5YTg0YWJkNDEy&amp;hl=en_US" TargetMode="External"/><Relationship Id="rId65" Type="http://schemas.openxmlformats.org/officeDocument/2006/relationships/hyperlink" Target="https://docs.google.com/viewer?a=v&amp;pid=explorer&amp;chrome=true&amp;srcid=0B6dKdxaNjBENMGUyNWNmZWQtNWVmNy00NGE0LWJlNWItZWU2NGI2MGUyOTJk&amp;hl=en_US" TargetMode="External"/><Relationship Id="rId68" Type="http://schemas.openxmlformats.org/officeDocument/2006/relationships/hyperlink" Target="https://docs.google.com/viewer?a=v&amp;pid=explorer&amp;chrome=true&amp;srcid=0B6dKdxaNjBENZjAzYjU5ODItM2VjYy00MWFjLTkzYzgtODhlZDBlODQyNmVl&amp;hl=en_US" TargetMode="External"/><Relationship Id="rId67" Type="http://schemas.openxmlformats.org/officeDocument/2006/relationships/hyperlink" Target="https://docs.google.com/viewer?a=v&amp;pid=explorer&amp;chrome=true&amp;srcid=0B6dKdxaNjBENMWY4MzJlN2YtOWE4NS00YWEyLThkODQtOGM5YzQyMTg4ZTI4&amp;hl=en_US" TargetMode="External"/><Relationship Id="rId60" Type="http://schemas.openxmlformats.org/officeDocument/2006/relationships/hyperlink" Target="https://docs.google.com/viewer?a=v&amp;pid=explorer&amp;chrome=true&amp;srcid=0B6dKdxaNjBENZmFmZTM4YjctMmIyNy00YzYzLTlmNjQtMzMzYTBiMDA2ZmE5&amp;hl=en_US" TargetMode="External"/><Relationship Id="rId69" Type="http://schemas.openxmlformats.org/officeDocument/2006/relationships/hyperlink" Target="https://docs.google.com/viewer?a=v&amp;pid=explorer&amp;chrome=true&amp;srcid=0B6dKdxaNjBENYzRmNzcwMGMtYjdlNi00MmI2LTgyMTEtYzBlYjZkODU3YTYz&amp;hl=en_US" TargetMode="External"/><Relationship Id="rId51" Type="http://schemas.openxmlformats.org/officeDocument/2006/relationships/hyperlink" Target="https://docs.google.com/file/d/0Bw8z7TlbmHSJTzlEZGxmTTJtRHc/edit" TargetMode="External"/><Relationship Id="rId50" Type="http://schemas.openxmlformats.org/officeDocument/2006/relationships/hyperlink" Target="https://docs.google.com/file/d/0Bw8z7TlbmHSJc0VRc3dxZDV2NW8/edit" TargetMode="External"/><Relationship Id="rId53" Type="http://schemas.openxmlformats.org/officeDocument/2006/relationships/hyperlink" Target="https://docs.google.com/viewer?a=v&amp;pid=explorer&amp;chrome=true&amp;srcid=0B6dKdxaNjBENNzQyNjQwOWItNzQ1Mi00YzE5LWJhMzctZGRlNWFhNWY4MDcw&amp;hl=en_US" TargetMode="External"/><Relationship Id="rId52" Type="http://schemas.openxmlformats.org/officeDocument/2006/relationships/hyperlink" Target="https://docs.google.com/file/d/0B6dKdxaNjBENRVJqcEtUb0RvVnc/edit" TargetMode="External"/><Relationship Id="rId55" Type="http://schemas.openxmlformats.org/officeDocument/2006/relationships/hyperlink" Target="https://docs.google.com/viewer?a=v&amp;pid=explorer&amp;chrome=true&amp;srcid=0B6dKdxaNjBENMWMxZWJlNzgtZDNiMi00YTEyLWFiNGUtN2JiNzEwMThmNWVh&amp;hl=en_US" TargetMode="External"/><Relationship Id="rId54" Type="http://schemas.openxmlformats.org/officeDocument/2006/relationships/hyperlink" Target="https://docs.google.com/viewer?a=v&amp;pid=explorer&amp;chrome=true&amp;srcid=0B6dKdxaNjBENYzgxYjRjOWEtOGFkOC00MDBlLTk4ZmEtOWI2M2Y0MDkzMThk&amp;hl=en_US" TargetMode="External"/><Relationship Id="rId57" Type="http://schemas.openxmlformats.org/officeDocument/2006/relationships/hyperlink" Target="https://docs.google.com/viewer?a=v&amp;pid=explorer&amp;chrome=true&amp;srcid=0B6dKdxaNjBENMTI4ZTJhMmEtNDE5Ny00MDA3LTg4MzgtMGJhMDBjMTVmYzk3&amp;hl=en_US" TargetMode="External"/><Relationship Id="rId56" Type="http://schemas.openxmlformats.org/officeDocument/2006/relationships/hyperlink" Target="http://www.seas.smu.edu" TargetMode="External"/><Relationship Id="rId59" Type="http://schemas.openxmlformats.org/officeDocument/2006/relationships/hyperlink" Target="https://docs.google.com/viewer?a=v&amp;pid=explorer&amp;chrome=true&amp;srcid=0B6dKdxaNjBENNTZiZjVjNTUtYmM1Zi00NjllLWExOWUtNmRiZDBkMzgzZDg4&amp;hl=en_US" TargetMode="External"/><Relationship Id="rId58" Type="http://schemas.openxmlformats.org/officeDocument/2006/relationships/hyperlink" Target="https://docs.google.com/viewer?a=v&amp;pid=explorer&amp;chrome=true&amp;srcid=0B6dKdxaNjBENZDQ4YmI4ZWQtNzY0OC00ZDExLWFiYzMtMTY5YTkwNzQ2NDYw&amp;hl=en_US" TargetMode="Externa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40" Type="http://schemas.openxmlformats.org/officeDocument/2006/relationships/hyperlink" Target="https://docs.google.com/viewer?a=v&amp;pid=explorer&amp;chrome=true&amp;srcid=0B6dKdxaNjBENMWNiNjA2ZDMtMDk5Mi00MTdlLThjOTUtNTk2MmRjY2JiNjY0&amp;hl=en_US" TargetMode="External"/><Relationship Id="rId42" Type="http://schemas.openxmlformats.org/officeDocument/2006/relationships/hyperlink" Target="https://docs.google.com/viewer?a=v&amp;pid=explorer&amp;chrome=true&amp;srcid=0B6dKdxaNjBENMDdlYzZmMzUtYTMxNC00OTU2LTgzZDMtZDM2OWVhYjgxZDM1&amp;hl=en_US" TargetMode="External"/><Relationship Id="rId41" Type="http://schemas.openxmlformats.org/officeDocument/2006/relationships/hyperlink" Target="https://docs.google.com/viewer?a=v&amp;pid=explorer&amp;chrome=true&amp;srcid=0B6dKdxaNjBENNzFjODRmYzUtMzAyZC00ZWNkLWJiM2QtZmI5YzQ0ZjY2Njkx&amp;hl=en_US" TargetMode="External"/><Relationship Id="rId44" Type="http://schemas.openxmlformats.org/officeDocument/2006/relationships/hyperlink" Target="https://docs.google.com/viewer?a=v&amp;pid=explorer&amp;chrome=true&amp;srcid=0B6dKdxaNjBENNzQyNjQwOWItNzQ1Mi00YzE5LWJhMzctZGRlNWFhNWY4MDcw&amp;hl=en_US" TargetMode="External"/><Relationship Id="rId43" Type="http://schemas.openxmlformats.org/officeDocument/2006/relationships/hyperlink" Target="https://docs.google.com/file/d/0B6dKdxaNjBENemJKM1EwY3pkXzg/edit" TargetMode="External"/><Relationship Id="rId46" Type="http://schemas.openxmlformats.org/officeDocument/2006/relationships/hyperlink" Target="https://docs.google.com/viewer?a=v&amp;pid=explorer&amp;chrome=true&amp;srcid=0B6dKdxaNjBENMWMxZWJlNzgtZDNiMi00YTEyLWFiNGUtN2JiNzEwMThmNWVh&amp;hl=en_US" TargetMode="External"/><Relationship Id="rId45" Type="http://schemas.openxmlformats.org/officeDocument/2006/relationships/hyperlink" Target="https://docs.google.com/viewer?a=v&amp;pid=explorer&amp;chrome=true&amp;srcid=0B6dKdxaNjBENYzgxYjRjOWEtOGFkOC00MDBlLTk4ZmEtOWI2M2Y0MDkzMThk&amp;hl=en_US" TargetMode="External"/><Relationship Id="rId48" Type="http://schemas.openxmlformats.org/officeDocument/2006/relationships/hyperlink" Target="https://docs.google.com/viewer?a=v&amp;pid=explorer&amp;chrome=true&amp;srcid=0B6dKdxaNjBENMTI4ZTJhMmEtNDE5Ny00MDA3LTg4MzgtMGJhMDBjMTVmYzk3&amp;hl=en_US" TargetMode="External"/><Relationship Id="rId47" Type="http://schemas.openxmlformats.org/officeDocument/2006/relationships/hyperlink" Target="http://www.seas.smu.edu" TargetMode="External"/><Relationship Id="rId49" Type="http://schemas.openxmlformats.org/officeDocument/2006/relationships/hyperlink" Target="https://docs.google.com/viewer?a=v&amp;pid=explorer&amp;chrome=true&amp;srcid=0B6dKdxaNjBENZDQ4YmI4ZWQtNzY0OC00ZDExLWFiYzMtMTY5YTkwNzQ2NDYw&amp;hl=en_US" TargetMode="External"/><Relationship Id="rId31" Type="http://schemas.openxmlformats.org/officeDocument/2006/relationships/hyperlink" Target="https://docs.google.com/viewer?a=v&amp;pid=explorer&amp;chrome=true&amp;srcid=0B6dKdxaNjBENMzY0OGNmMDUtOTliOS00NTc0LWE4ZmYtYTA5OTUxYThjOTZi&amp;hl=en_US" TargetMode="External"/><Relationship Id="rId30" Type="http://schemas.openxmlformats.org/officeDocument/2006/relationships/hyperlink" Target="https://docs.google.com/viewer?a=v&amp;pid=explorer&amp;chrome=true&amp;srcid=0B6dKdxaNjBENYmJkYjE3YWYtN2I0NC00ZGRiLTllZDAtNjA1MjhjZTdmMzE5&amp;hl=en_US" TargetMode="External"/><Relationship Id="rId33" Type="http://schemas.openxmlformats.org/officeDocument/2006/relationships/hyperlink" Target="https://docs.google.com/viewer?a=v&amp;pid=explorer&amp;chrome=true&amp;srcid=0B6dKdxaNjBENMjgzMTQ4ZDMtYzUyNy00ZGRjLTg4MGEtNTVhY2NiZmY3NmRh&amp;hl=en_US" TargetMode="External"/><Relationship Id="rId32" Type="http://schemas.openxmlformats.org/officeDocument/2006/relationships/hyperlink" Target="http://wwwcsif.cs.ucdavis.edu/~wassermg/research/issta08.pdf" TargetMode="External"/><Relationship Id="rId35" Type="http://schemas.openxmlformats.org/officeDocument/2006/relationships/hyperlink" Target="https://docs.google.com/viewer?a=v&amp;pid=explorer&amp;chrome=true&amp;srcid=0B6dKdxaNjBENZmU2ZjQ2ZmUtMTg5My00NzM3LWJmYTAtYTA1MTk3NWVlNDZm&amp;hl=en_US" TargetMode="External"/><Relationship Id="rId34" Type="http://schemas.openxmlformats.org/officeDocument/2006/relationships/hyperlink" Target="https://docs.google.com/viewer?a=v&amp;pid=explorer&amp;chrome=true&amp;srcid=0B6dKdxaNjBENNDRkNzE2YzgtZjA1OC00YzY5LWIxOTItYWJmNjI3OWYyNTkx&amp;hl=en_US" TargetMode="External"/><Relationship Id="rId37" Type="http://schemas.openxmlformats.org/officeDocument/2006/relationships/hyperlink" Target="https://docs.google.com/viewer?a=v&amp;pid=explorer&amp;chrome=true&amp;srcid=0B6dKdxaNjBENMGQzZDgxZWYtZTc2Yi00YzgyLWIyZGEtZDQyMmMyYjEwY2Nj&amp;hl=en_US" TargetMode="External"/><Relationship Id="rId36" Type="http://schemas.openxmlformats.org/officeDocument/2006/relationships/hyperlink" Target="https://docs.google.com/viewer?a=v&amp;pid=explorer&amp;chrome=true&amp;srcid=0B6dKdxaNjBENZjc2ZjM5ZTEtYjBhMS00MmJiLTg5NjYtYTk2MDViYWE1ZGU4&amp;hl=en_US" TargetMode="External"/><Relationship Id="rId39" Type="http://schemas.openxmlformats.org/officeDocument/2006/relationships/hyperlink" Target="https://docs.google.com/viewer?a=v&amp;pid=explorer&amp;chrome=true&amp;srcid=0B6dKdxaNjBENZWQwOWI5ZWMtMGY3Mi00ZTg3LTlkZjMtNDAwYTM4Nzk3NTky&amp;hl=en_US" TargetMode="External"/><Relationship Id="rId38" Type="http://schemas.openxmlformats.org/officeDocument/2006/relationships/hyperlink" Target="https://docs.google.com/viewer?a=v&amp;pid=explorer&amp;chrome=true&amp;srcid=0B6dKdxaNjBENZjFhMzJjMmYtZjBjNy00NzkyLWFkZjktMjNlMWUxMDU5N2E3&amp;hl=en_US" TargetMode="External"/><Relationship Id="rId20" Type="http://schemas.openxmlformats.org/officeDocument/2006/relationships/hyperlink" Target="https://docs.google.com/viewer?a=v&amp;pid=explorer&amp;chrome=true&amp;srcid=0B6dKdxaNjBENYmFmYmUwMDEtMGM1Yy00ZjBmLTg3NTMtMzgxODk4YWNjNmY1&amp;hl=en_US" TargetMode="External"/><Relationship Id="rId22" Type="http://schemas.openxmlformats.org/officeDocument/2006/relationships/hyperlink" Target="https://docs.google.com/viewer?a=v&amp;pid=explorer&amp;chrome=true&amp;srcid=0B6dKdxaNjBENMTYwNDc1ODctMDRlNi00MGE2LWIwZjItODEwMTk1YTdmYjQy&amp;hl=en_US" TargetMode="External"/><Relationship Id="rId21" Type="http://schemas.openxmlformats.org/officeDocument/2006/relationships/hyperlink" Target="https://docs.google.com/viewer?a=v&amp;pid=explorer&amp;chrome=true&amp;srcid=0B6dKdxaNjBENMTIyNmRiYTEtOGVhNi00YmQyLTk0NjYtYmFmMWUxNzhjNWFi&amp;hl=en_US" TargetMode="External"/><Relationship Id="rId24" Type="http://schemas.openxmlformats.org/officeDocument/2006/relationships/hyperlink" Target="https://docs.google.com/viewer?a=v&amp;pid=explorer&amp;chrome=true&amp;srcid=0B6dKdxaNjBENNjhhNmE0MDctYWJiZC00NTI3LWIyODgtMGE4Nzg0MWZhMWI0&amp;hl=en_US" TargetMode="External"/><Relationship Id="rId23" Type="http://schemas.openxmlformats.org/officeDocument/2006/relationships/hyperlink" Target="https://docs.google.com/viewer?a=v&amp;pid=explorer&amp;chrome=true&amp;srcid=0B6dKdxaNjBENYmUyMjNhNzgtYmE4MC00MGQ0LTk5YTUtN2I3NTlhNDEwZDdl&amp;hl=en_US" TargetMode="External"/><Relationship Id="rId26" Type="http://schemas.openxmlformats.org/officeDocument/2006/relationships/hyperlink" Target="https://docs.google.com/viewer?a=v&amp;pid=explorer&amp;chrome=true&amp;srcid=0B6dKdxaNjBENODE1ZWJjOWYtM2FiNS00YjAzLThhMTktYzViMzZjY2ExNzIx&amp;hl=en_US" TargetMode="External"/><Relationship Id="rId25" Type="http://schemas.openxmlformats.org/officeDocument/2006/relationships/hyperlink" Target="https://docs.google.com/viewer?a=v&amp;pid=explorer&amp;chrome=true&amp;srcid=0B6dKdxaNjBENMjBhOGI4OTctZWIxNS00Y2Q1LTkzNmYtYTdjMTU1YmQ5NDFh&amp;hl=en_US" TargetMode="External"/><Relationship Id="rId28" Type="http://schemas.openxmlformats.org/officeDocument/2006/relationships/hyperlink" Target="https://docs.google.com/viewer?a=v&amp;pid=explorer&amp;chrome=true&amp;srcid=0B6dKdxaNjBENZTAxMzdhYzQtNDZiYi00ZWJhLWJiZjItMzVlZDMzZjc2NTdl&amp;hl=en_US" TargetMode="External"/><Relationship Id="rId27" Type="http://schemas.openxmlformats.org/officeDocument/2006/relationships/hyperlink" Target="https://docs.google.com/viewer?a=v&amp;pid=explorer&amp;chrome=true&amp;srcid=0B6dKdxaNjBENODBmYmQwMmQtMDQyOS00YjMxLWExOGUtNTkxNjE4MjEwOGI2&amp;hl=en_US" TargetMode="External"/><Relationship Id="rId29" Type="http://schemas.openxmlformats.org/officeDocument/2006/relationships/hyperlink" Target="https://docs.google.com/viewer?a=v&amp;pid=explorer&amp;chrome=true&amp;srcid=0B6dKdxaNjBENNjNhNjQ3MzUtMDllZC00YzI4LWJlZmQtYzc5OTFkNzM2YWQw&amp;hl=en_US" TargetMode="External"/><Relationship Id="rId11" Type="http://schemas.openxmlformats.org/officeDocument/2006/relationships/hyperlink" Target="https://docs.google.com/viewer?a=v&amp;pid=explorer&amp;chrome=true&amp;srcid=0B6dKdxaNjBENNDAyYzNjNGItMzRhYS00NThlLWEwMmMtMmE2OGE0YWNkODli&amp;hl=en_US" TargetMode="External"/><Relationship Id="rId10" Type="http://schemas.openxmlformats.org/officeDocument/2006/relationships/hyperlink" Target="https://docs.google.com/viewer?a=v&amp;pid=explorer&amp;chrome=true&amp;srcid=0B6dKdxaNjBENYWYzYzkyZTgtNTc1YS00Mzk0LWJjNWQtOWYwYTM5M2MxYmE0&amp;hl=en_US" TargetMode="External"/><Relationship Id="rId13" Type="http://schemas.openxmlformats.org/officeDocument/2006/relationships/hyperlink" Target="https://docs.google.com/viewer?a=v&amp;pid=explorer&amp;chrome=true&amp;srcid=0B6dKdxaNjBENMGYzY2EwMDAtZjg0My00MzY1LTlkNWMtYzcyYmVkMDdiYTZl&amp;hl=en_US" TargetMode="External"/><Relationship Id="rId12" Type="http://schemas.openxmlformats.org/officeDocument/2006/relationships/hyperlink" Target="https://docs.google.com/viewer?a=v&amp;pid=explorer&amp;chrome=true&amp;srcid=0B6dKdxaNjBENZjgwZmE2MzgtM2YxMy00YmE3LTg2OGEtMDk5ZjJkNWE1ZWNi&amp;hl=en_US" TargetMode="External"/><Relationship Id="rId15" Type="http://schemas.openxmlformats.org/officeDocument/2006/relationships/hyperlink" Target="https://docs.google.com/viewer?a=v&amp;pid=explorer&amp;chrome=true&amp;srcid=0B6dKdxaNjBENNDA1MTdkMjYtZDlmMC00ODUwLWFmYWYtYzA5NTEzYjkzYjNk&amp;hl=en_US" TargetMode="External"/><Relationship Id="rId14" Type="http://schemas.openxmlformats.org/officeDocument/2006/relationships/hyperlink" Target="https://docs.google.com/viewer?a=v&amp;pid=explorer&amp;chrome=true&amp;srcid=0B6dKdxaNjBENYmIwMzQyNmItYTc3Mi00MGZhLThjOTMtZTYyMGZmNGYwMTA3&amp;hl=en_US" TargetMode="External"/><Relationship Id="rId17" Type="http://schemas.openxmlformats.org/officeDocument/2006/relationships/hyperlink" Target="https://docs.google.com/viewer?a=v&amp;pid=explorer&amp;chrome=true&amp;srcid=0B6dKdxaNjBENN2RiOTRmYjQtMjlhMS00NzYwLWI2MmItZGMwZDdmYTg2MGRi&amp;hl=en_US" TargetMode="External"/><Relationship Id="rId16" Type="http://schemas.openxmlformats.org/officeDocument/2006/relationships/hyperlink" Target="https://docs.google.com/viewer?a=v&amp;pid=explorer&amp;chrome=true&amp;srcid=0B6dKdxaNjBENY2NmODQzMmMtMDdmYi00YmU1LWI4OWMtZjY0MDVmNWVhODc1&amp;hl=en_US" TargetMode="External"/><Relationship Id="rId19" Type="http://schemas.openxmlformats.org/officeDocument/2006/relationships/hyperlink" Target="https://docs.google.com/viewer?a=v&amp;pid=explorer&amp;chrome=true&amp;srcid=0B6dKdxaNjBENM2E3Yjg2NTItMGRjMy00MTk0LTgzZTgtNzFjOGJkMzlmMDMx&amp;hl=en_US" TargetMode="External"/><Relationship Id="rId18" Type="http://schemas.openxmlformats.org/officeDocument/2006/relationships/hyperlink" Target="http://www.google.ca/url?sa=t&amp;source=web&amp;cd=1&amp;ved=0CBcQFjAA&amp;url=http%3A%2F%2Fwww.cs.queensu.ca%2Fhome%2Fcordy%2FPapers%2FACD_CSMR10_Coverage.pdf&amp;rct=j&amp;q=Automating%20Coverage%20Metrics%20for%20Dynamic%20Web%20Applications&amp;ei=y_g6Tvr4LOzUiALg19n5Cw&amp;usg=AFQjCNFiRAmHcz6aNGeXm0bDX3SPkJ9TBQ&amp;sig2=mOY0RvXmW-MVMLSlHHbS5Q&amp;cad=rja" TargetMode="External"/><Relationship Id="rId84" Type="http://schemas.openxmlformats.org/officeDocument/2006/relationships/vmlDrawing" Target="../drawings/vmlDrawing3.vml"/><Relationship Id="rId83" Type="http://schemas.openxmlformats.org/officeDocument/2006/relationships/drawing" Target="../drawings/drawing3.xml"/><Relationship Id="rId80" Type="http://schemas.openxmlformats.org/officeDocument/2006/relationships/hyperlink" Target="https://docs.google.com/viewer?a=v&amp;pid=explorer&amp;chrome=true&amp;srcid=0B6dKdxaNjBENMzJkYTg0NDYtYzNiMC00NjFjLThkNjctY2I1NjVhMGE0MmU0&amp;hl=en_US" TargetMode="External"/><Relationship Id="rId82" Type="http://schemas.openxmlformats.org/officeDocument/2006/relationships/hyperlink" Target="https://docs.google.com/viewer?a=v&amp;pid=explorer&amp;chrome=true&amp;srcid=0B6dKdxaNjBENMmVmMjA5YTktODJhOS00Y2IxLWExMzEtZWM0MDczODA4MjUx&amp;hl=en_US" TargetMode="External"/><Relationship Id="rId81" Type="http://schemas.openxmlformats.org/officeDocument/2006/relationships/hyperlink" Target="https://docs.google.com/viewer?a=v&amp;pid=explorer&amp;chrome=true&amp;srcid=0B6dKdxaNjBENYzVmMTMwMmQtMjkyYy00MzM3LWI2OWEtNGU2NmRkYWE3NGE4&amp;hl=en_US" TargetMode="External"/><Relationship Id="rId1" Type="http://schemas.openxmlformats.org/officeDocument/2006/relationships/comments" Target="../comments3.xml"/><Relationship Id="rId2" Type="http://schemas.openxmlformats.org/officeDocument/2006/relationships/hyperlink" Target="https://docs.google.com/viewer?a=v&amp;pid=explorer&amp;chrome=true&amp;srcid=0B6dKdxaNjBENMmZlZjU1NjctYzQzMC00MzBhLTg0NTEtZTRjM2FkZDk5YmIz&amp;hl=en_US" TargetMode="External"/><Relationship Id="rId3" Type="http://schemas.openxmlformats.org/officeDocument/2006/relationships/hyperlink" Target="https://docs.google.com/viewer?a=v&amp;pid=explorer&amp;chrome=true&amp;srcid=0B6dKdxaNjBENMjI4MWFkZGYtYjhhNS00YThhLWE4NTktZjg3Y2I5MjExODJm&amp;hl=en_US" TargetMode="External"/><Relationship Id="rId4" Type="http://schemas.openxmlformats.org/officeDocument/2006/relationships/hyperlink" Target="https://docs.google.com/viewer?a=v&amp;pid=explorer&amp;chrome=true&amp;srcid=0B6dKdxaNjBENOTYxMmYwNDktMmU1Yy00NjRjLWI0YmQtZTAzNWExOWQzMTky&amp;hl=en_US" TargetMode="External"/><Relationship Id="rId9" Type="http://schemas.openxmlformats.org/officeDocument/2006/relationships/hyperlink" Target="https://docs.google.com/viewer?a=v&amp;pid=explorer&amp;chrome=true&amp;srcid=0B6dKdxaNjBENZTk5YTFmYmEtYjZiNy00MmFjLTlhNjEtOWRiNzA3M2ZiOGY1&amp;hl=en_US" TargetMode="External"/><Relationship Id="rId5" Type="http://schemas.openxmlformats.org/officeDocument/2006/relationships/hyperlink" Target="https://docs.google.com/viewer?a=v&amp;pid=explorer&amp;chrome=true&amp;srcid=0B6dKdxaNjBENMDA5YjEzMWEtZmZjMi00ZTUzLWI0NTgtZGRlOGM3Y2Q4ZmU2&amp;hl=en_US" TargetMode="External"/><Relationship Id="rId6" Type="http://schemas.openxmlformats.org/officeDocument/2006/relationships/hyperlink" Target="https://docs.google.com/viewer?a=v&amp;pid=explorer&amp;chrome=true&amp;srcid=0B6dKdxaNjBENOGYxM2Q0NjMtZjVlMC00NDVlLWFmZDAtNjQwZTlhMTY0YWEw&amp;hl=en_US" TargetMode="External"/><Relationship Id="rId7" Type="http://schemas.openxmlformats.org/officeDocument/2006/relationships/hyperlink" Target="https://docs.google.com/viewer?a=v&amp;pid=explorer&amp;chrome=true&amp;srcid=0B6dKdxaNjBENMzY5MWQ4MWEtMDZmNy00ZmMyLWE3YmEtYTFmYTEzMmRjNDc0&amp;hl=en_US" TargetMode="External"/><Relationship Id="rId8" Type="http://schemas.openxmlformats.org/officeDocument/2006/relationships/hyperlink" Target="https://docs.google.com/viewer?a=v&amp;pid=explorer&amp;chrome=true&amp;srcid=0B6dKdxaNjBENMDliMWQ4YWItOTcwOC00OGZmLWI0OTAtNzQ1ZTE4OWVmZDU3&amp;hl=en_US" TargetMode="External"/><Relationship Id="rId73" Type="http://schemas.openxmlformats.org/officeDocument/2006/relationships/hyperlink" Target="http://widgets.com" TargetMode="External"/><Relationship Id="rId72" Type="http://schemas.openxmlformats.org/officeDocument/2006/relationships/hyperlink" Target="https://docs.google.com/viewer?a=v&amp;pid=explorer&amp;chrome=true&amp;srcid=0B6dKdxaNjBENNWEzNGNiYjQtMTUwMC00ZDY2LTkyNzctM2JmNmQ4YTE4NzJj&amp;hl=en_US" TargetMode="External"/><Relationship Id="rId75" Type="http://schemas.openxmlformats.org/officeDocument/2006/relationships/hyperlink" Target="https://docs.google.com/viewer?a=v&amp;pid=explorer&amp;chrome=true&amp;srcid=0B6dKdxaNjBENNDNhMjQ2OWUtYTgwMC00MDBlLWJhOGItN2JmNzdjMDhjNWFi&amp;hl=en_US" TargetMode="External"/><Relationship Id="rId74" Type="http://schemas.openxmlformats.org/officeDocument/2006/relationships/hyperlink" Target="https://docs.google.com/viewer?a=v&amp;pid=explorer&amp;chrome=true&amp;srcid=0B6dKdxaNjBENMmVkZjI1ZjYtM2E0Ni00NDIzLThkZjQtNDUyOWY0Y2QwNTNl&amp;hl=en_US" TargetMode="External"/><Relationship Id="rId77" Type="http://schemas.openxmlformats.org/officeDocument/2006/relationships/hyperlink" Target="https://docs.google.com/viewer?a=v&amp;pid=explorer&amp;chrome=true&amp;srcid=0B6dKdxaNjBENOTA0NDJkNGQtODE5MS00YzlhLWIyODctMzJiMTA4YWE4ZmVl&amp;hl=en_US" TargetMode="External"/><Relationship Id="rId76" Type="http://schemas.openxmlformats.org/officeDocument/2006/relationships/hyperlink" Target="https://docs.google.com/viewer?a=v&amp;pid=explorer&amp;chrome=true&amp;srcid=0B6dKdxaNjBENMDM3YjM2YjAtODljNS00NGI1LTgzNTUtYTVmY2Q4YjE2Y2Mx&amp;hl=en_US" TargetMode="External"/><Relationship Id="rId79" Type="http://schemas.openxmlformats.org/officeDocument/2006/relationships/hyperlink" Target="https://docs.google.com/viewer?a=v&amp;pid=explorer&amp;chrome=true&amp;srcid=0B6dKdxaNjBENNWIxZGFmMmYtODQwMC00MDU3LTk0YTEtZjc3M2I1M2UyMjYw&amp;hl=en_US" TargetMode="External"/><Relationship Id="rId78" Type="http://schemas.openxmlformats.org/officeDocument/2006/relationships/hyperlink" Target="https://docs.google.com/viewer?a=v&amp;pid=explorer&amp;chrome=true&amp;srcid=0B6dKdxaNjBENZjVhZWQyOTUtOGY2ZC00NmU4LWIzYTMtZjMyOThhOWY0MWYw&amp;hl=en_US" TargetMode="External"/><Relationship Id="rId71" Type="http://schemas.openxmlformats.org/officeDocument/2006/relationships/hyperlink" Target="https://docs.google.com/viewer?a=v&amp;pid=explorer&amp;chrome=true&amp;srcid=0B6dKdxaNjBENODBlY2EzYTMtYzE1ZC00MjQxLWJjN2QtZDUwM2YyZWEzMGJm&amp;hl=en_US" TargetMode="External"/><Relationship Id="rId70" Type="http://schemas.openxmlformats.org/officeDocument/2006/relationships/hyperlink" Target="https://docs.google.com/viewer?a=v&amp;pid=explorer&amp;chrome=true&amp;srcid=0B6dKdxaNjBENYTE5Njk5MWQtY2E0Mi00ZWE3LTg2YWItZTEwM2E3N2U3ODc5&amp;hl=en_US" TargetMode="External"/><Relationship Id="rId62" Type="http://schemas.openxmlformats.org/officeDocument/2006/relationships/hyperlink" Target="https://docs.google.com/viewer?a=v&amp;pid=explorer&amp;chrome=true&amp;srcid=0B6dKdxaNjBENNzUyYTQ4YTYtNDg3NS00ZGQ3LTk0MzgtMzE4OGJkYzM1ZjBj&amp;hl=en_US" TargetMode="External"/><Relationship Id="rId61" Type="http://schemas.openxmlformats.org/officeDocument/2006/relationships/hyperlink" Target="https://docs.google.com/viewer?a=v&amp;pid=explorer&amp;chrome=true&amp;srcid=0B6dKdxaNjBENOTdlNzdhYjAtNjIyNy00Nzc5LWFjYWItNzUxYWZkNWE5ZmVi&amp;hl=en_US" TargetMode="External"/><Relationship Id="rId64" Type="http://schemas.openxmlformats.org/officeDocument/2006/relationships/hyperlink" Target="https://docs.google.com/viewer?a=v&amp;pid=explorer&amp;chrome=true&amp;srcid=0B6dKdxaNjBENNTg3NTJmYzQtYjlmMC00OGQ1LWI2NWItNWZkMDRkMDE1ZDQ2&amp;hl=en_US" TargetMode="External"/><Relationship Id="rId63" Type="http://schemas.openxmlformats.org/officeDocument/2006/relationships/hyperlink" Target="https://docs.google.com/viewer?a=v&amp;pid=explorer&amp;chrome=true&amp;srcid=0B6dKdxaNjBENMzIxYWRiMTgtZDJjMi00ZDg5LThmZGYtMTgyY2U3MDBlOTNm&amp;hl=en_US" TargetMode="External"/><Relationship Id="rId66" Type="http://schemas.openxmlformats.org/officeDocument/2006/relationships/hyperlink" Target="https://docs.google.com/viewer?a=v&amp;pid=explorer&amp;chrome=true&amp;srcid=0B6dKdxaNjBENYWM4YmM5NWYtNmNlMi00MjUwLWFmZWQtOTBkOGIxYjhjNGVj&amp;hl=en_US" TargetMode="External"/><Relationship Id="rId65" Type="http://schemas.openxmlformats.org/officeDocument/2006/relationships/hyperlink" Target="https://docs.google.com/viewer?a=v&amp;pid=explorer&amp;chrome=true&amp;srcid=0B6dKdxaNjBENNmIyNzRlNWYtNzI2Ny00MzBhLTk3YjctY2JjODkzNTA2NDFi&amp;hl=en_US" TargetMode="External"/><Relationship Id="rId68" Type="http://schemas.openxmlformats.org/officeDocument/2006/relationships/hyperlink" Target="https://docs.google.com/viewer?a=v&amp;pid=explorer&amp;chrome=true&amp;srcid=0B6dKdxaNjBENZWUxYTYyZTktYjQ2Ni00NzVhLWI3NTItZjE1MzhmMmFiOWQ1&amp;hl=en_US" TargetMode="External"/><Relationship Id="rId67" Type="http://schemas.openxmlformats.org/officeDocument/2006/relationships/hyperlink" Target="https://docs.google.com/viewer?a=v&amp;pid=explorer&amp;chrome=true&amp;srcid=0B6dKdxaNjBENNTIzMDBjOWItNTYxMS00ZDFhLTk4MDYtNjM1MjRiMGJjMGY5&amp;hl=en_US" TargetMode="External"/><Relationship Id="rId60" Type="http://schemas.openxmlformats.org/officeDocument/2006/relationships/hyperlink" Target="https://docs.google.com/viewer?a=v&amp;pid=explorer&amp;chrome=true&amp;srcid=0B6dKdxaNjBENNWVlMDg4YmMtNThmNS00OTk2LWJlMmYtNmI5NzViYjk1OTQy&amp;hl=en_US" TargetMode="External"/><Relationship Id="rId69" Type="http://schemas.openxmlformats.org/officeDocument/2006/relationships/hyperlink" Target="https://docs.google.com/viewer?a=v&amp;pid=explorer&amp;chrome=true&amp;srcid=0B6dKdxaNjBENNmFjMTU2YWItMjc5OS00MGFmLWIxNjItYTEyNWRkOTgxYTZk&amp;hl=en_US" TargetMode="External"/><Relationship Id="rId51" Type="http://schemas.openxmlformats.org/officeDocument/2006/relationships/hyperlink" Target="https://docs.google.com/viewer?a=v&amp;pid=explorer&amp;chrome=true&amp;srcid=0B6dKdxaNjBENZmFmZTM4YjctMmIyNy00YzYzLTlmNjQtMzMzYTBiMDA2ZmE5&amp;hl=en_US" TargetMode="External"/><Relationship Id="rId50" Type="http://schemas.openxmlformats.org/officeDocument/2006/relationships/hyperlink" Target="https://docs.google.com/viewer?a=v&amp;pid=explorer&amp;chrome=true&amp;srcid=0B6dKdxaNjBENNTZiZjVjNTUtYmM1Zi00NjllLWExOWUtNmRiZDBkMzgzZDg4&amp;hl=en_US" TargetMode="External"/><Relationship Id="rId53" Type="http://schemas.openxmlformats.org/officeDocument/2006/relationships/hyperlink" Target="https://docs.google.com/viewer?a=v&amp;pid=explorer&amp;chrome=true&amp;srcid=0B6dKdxaNjBENMGUyNWNmZWQtNWVmNy00NGE0LWJlNWItZWU2NGI2MGUyOTJk&amp;hl=en_US" TargetMode="External"/><Relationship Id="rId52" Type="http://schemas.openxmlformats.org/officeDocument/2006/relationships/hyperlink" Target="http://cs.au.dk/~amoeller/papers/dom/paper.pdf" TargetMode="External"/><Relationship Id="rId55" Type="http://schemas.openxmlformats.org/officeDocument/2006/relationships/hyperlink" Target="https://docs.google.com/viewer?a=v&amp;pid=explorer&amp;chrome=true&amp;srcid=0B6dKdxaNjBENMWY4MzJlN2YtOWE4NS00YWEyLThkODQtOGM5YzQyMTg4ZTI4&amp;hl=en_US" TargetMode="External"/><Relationship Id="rId54" Type="http://schemas.openxmlformats.org/officeDocument/2006/relationships/hyperlink" Target="https://docs.google.com/viewer?a=v&amp;pid=explorer&amp;chrome=true&amp;srcid=0B6dKdxaNjBENZTliM2Q1NzQtZDc4Ny00Mjg2LWE4MDMtNTc5YTg0YWJkNDEy&amp;hl=en_US" TargetMode="External"/><Relationship Id="rId57" Type="http://schemas.openxmlformats.org/officeDocument/2006/relationships/hyperlink" Target="https://docs.google.com/viewer?a=v&amp;pid=explorer&amp;chrome=true&amp;srcid=0B6dKdxaNjBENYzRmNzcwMGMtYjdlNi00MmI2LTgyMTEtYzBlYjZkODU3YTYz&amp;hl=en_US" TargetMode="External"/><Relationship Id="rId56" Type="http://schemas.openxmlformats.org/officeDocument/2006/relationships/hyperlink" Target="https://docs.google.com/viewer?a=v&amp;pid=explorer&amp;chrome=true&amp;srcid=0B6dKdxaNjBENZjAzYjU5ODItM2VjYy00MWFjLTkzYzgtODhlZDBlODQyNmVl&amp;hl=en_US" TargetMode="External"/><Relationship Id="rId59" Type="http://schemas.openxmlformats.org/officeDocument/2006/relationships/hyperlink" Target="https://docs.google.com/viewer?a=v&amp;pid=explorer&amp;chrome=true&amp;srcid=0B6dKdxaNjBENNTlkNTFkZjItODgxYS00YTI1LWEzMDMtZWNlNDE1M2ZiMThi&amp;hl=en_US" TargetMode="External"/><Relationship Id="rId58" Type="http://schemas.openxmlformats.org/officeDocument/2006/relationships/hyperlink" Target="https://docs.google.com/viewer?a=v&amp;pid=explorer&amp;chrome=true&amp;srcid=0B6dKdxaNjBENZTdmMjI1NTItYTNhZi00NTRjLTg4MmQtNWQ1ZjMwZWMyNzI0&amp;hl=en_US"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link.springer.com/chapter/10.1007/978-3-642-35702-2_5" TargetMode="External"/><Relationship Id="rId42" Type="http://schemas.openxmlformats.org/officeDocument/2006/relationships/hyperlink" Target="http://www.cyberjournals.com/Papers/Feb2013/03.pdf" TargetMode="External"/><Relationship Id="rId41" Type="http://schemas.openxmlformats.org/officeDocument/2006/relationships/hyperlink" Target="http://link.springer.com/chapter/10.1007/978-3-642-37057-1_25" TargetMode="External"/><Relationship Id="rId44" Type="http://schemas.openxmlformats.org/officeDocument/2006/relationships/hyperlink" Target="http://link.springer.com/chapter/10.1007/978-3-642-36177-7_12" TargetMode="External"/><Relationship Id="rId43" Type="http://schemas.openxmlformats.org/officeDocument/2006/relationships/hyperlink" Target="http://link.springer.com/chapter/10.1007/978-3-642-35702-2_7" TargetMode="External"/><Relationship Id="rId46" Type="http://schemas.openxmlformats.org/officeDocument/2006/relationships/hyperlink" Target="http://hal.inria.fr/docs/00/80/48/76/PDF/PhDSymposium-ICST13-vCR-ValeriaLelli.pdf" TargetMode="External"/><Relationship Id="rId45" Type="http://schemas.openxmlformats.org/officeDocument/2006/relationships/hyperlink" Target="http://fg-tav.gi.de/fileadmin/user_upload/TAV34/Toersel_Paper.pdf" TargetMode="External"/><Relationship Id="rId48" Type="http://schemas.openxmlformats.org/officeDocument/2006/relationships/drawing" Target="../drawings/drawing4.xml"/><Relationship Id="rId47" Type="http://schemas.openxmlformats.org/officeDocument/2006/relationships/hyperlink" Target="http://ece.ubc.ca/~amesbah/docs/icst13.pdf" TargetMode="External"/><Relationship Id="rId49" Type="http://schemas.openxmlformats.org/officeDocument/2006/relationships/vmlDrawing" Target="../drawings/vmlDrawing4.vml"/><Relationship Id="rId31" Type="http://schemas.openxmlformats.org/officeDocument/2006/relationships/hyperlink" Target="https://docs.google.com/file/d/0BzWeYCv5rkkzclNpS3ZNN2ZIdTg/edit" TargetMode="External"/><Relationship Id="rId30" Type="http://schemas.openxmlformats.org/officeDocument/2006/relationships/hyperlink" Target="https://docs.google.com/file/d/0BzWeYCv5rkkzQWd0M3VsM1lIaWM/edit" TargetMode="External"/><Relationship Id="rId33" Type="http://schemas.openxmlformats.org/officeDocument/2006/relationships/hyperlink" Target="https://docs.google.com/file/d/0BzWeYCv5rkkzd0tvbkxmZlBuNFE/edit" TargetMode="External"/><Relationship Id="rId32" Type="http://schemas.openxmlformats.org/officeDocument/2006/relationships/hyperlink" Target="https://docs.google.com/file/d/0BzWeYCv5rkkzeGlWamljMXllQjQ/edit" TargetMode="External"/><Relationship Id="rId35" Type="http://schemas.openxmlformats.org/officeDocument/2006/relationships/hyperlink" Target="https://docs.google.com/file/d/0BzWeYCv5rkkzLWVDRWFIVjVTVkk/edit" TargetMode="External"/><Relationship Id="rId34" Type="http://schemas.openxmlformats.org/officeDocument/2006/relationships/hyperlink" Target="https://docs.google.com/file/d/0BzWeYCv5rkkzZnVMYmRsa2JMazg/edit" TargetMode="External"/><Relationship Id="rId37" Type="http://schemas.openxmlformats.org/officeDocument/2006/relationships/hyperlink" Target="https://docs.google.com/file/d/0BzWeYCv5rkkzOFRfV0xqQTFyNms/edit" TargetMode="External"/><Relationship Id="rId36" Type="http://schemas.openxmlformats.org/officeDocument/2006/relationships/hyperlink" Target="https://docs.google.com/file/d/0BzWeYCv5rkkzN0pnejZXcWhIeE0/edit" TargetMode="External"/><Relationship Id="rId39" Type="http://schemas.openxmlformats.org/officeDocument/2006/relationships/hyperlink" Target="http://ieeexplore.ieee.org/xpls/abs_all.jsp?arnumber=6258611&amp;tag=1" TargetMode="External"/><Relationship Id="rId38" Type="http://schemas.openxmlformats.org/officeDocument/2006/relationships/hyperlink" Target="http://ieeexplore.ieee.org/xpls/abs_all.jsp?arnumber=5728834" TargetMode="External"/><Relationship Id="rId20" Type="http://schemas.openxmlformats.org/officeDocument/2006/relationships/hyperlink" Target="https://docs.google.com/file/d/0BzWeYCv5rkkzTV9WbVQ0MWhOMzg/edit" TargetMode="External"/><Relationship Id="rId22" Type="http://schemas.openxmlformats.org/officeDocument/2006/relationships/hyperlink" Target="https://docs.google.com/file/d/0BzWeYCv5rkkzY0VkdnpGYk83SEE/edit" TargetMode="External"/><Relationship Id="rId21" Type="http://schemas.openxmlformats.org/officeDocument/2006/relationships/hyperlink" Target="https://docs.google.com/file/d/0BzWeYCv5rkkzNVk1U3VqX2xXaUE/edit" TargetMode="External"/><Relationship Id="rId24" Type="http://schemas.openxmlformats.org/officeDocument/2006/relationships/hyperlink" Target="https://docs.google.com/file/d/0BzWeYCv5rkkzOFJRU2RWVzF2OGc/edit" TargetMode="External"/><Relationship Id="rId23" Type="http://schemas.openxmlformats.org/officeDocument/2006/relationships/hyperlink" Target="https://docs.google.com/file/d/0BzWeYCv5rkkzXzg4ZDZqRXp5RzA/edit" TargetMode="External"/><Relationship Id="rId26" Type="http://schemas.openxmlformats.org/officeDocument/2006/relationships/hyperlink" Target="http://ieeexplore.ieee.org/xpls/abs_all.jsp?arnumber=5198500&amp;tag=1" TargetMode="External"/><Relationship Id="rId25" Type="http://schemas.openxmlformats.org/officeDocument/2006/relationships/hyperlink" Target="https://docs.google.com/file/d/0BzWeYCv5rkkzV1N0WHctRXZOM0E/edit" TargetMode="External"/><Relationship Id="rId28" Type="http://schemas.openxmlformats.org/officeDocument/2006/relationships/hyperlink" Target="https://docs.google.com/file/d/0BzWeYCv5rkkzUThMS3dwR090Nm8/edit" TargetMode="External"/><Relationship Id="rId27" Type="http://schemas.openxmlformats.org/officeDocument/2006/relationships/hyperlink" Target="https://docs.google.com/file/d/0BzWeYCv5rkkzbU9kcklyVmZrRGM/edit" TargetMode="External"/><Relationship Id="rId29" Type="http://schemas.openxmlformats.org/officeDocument/2006/relationships/hyperlink" Target="https://docs.google.com/file/d/0BzWeYCv5rkkzLUJhSXJsZmcyVlU/edit" TargetMode="External"/><Relationship Id="rId11" Type="http://schemas.openxmlformats.org/officeDocument/2006/relationships/hyperlink" Target="https://docs.google.com/file/d/0B6dKdxaNjBENcFE3QU42cUpxc2s/edit" TargetMode="External"/><Relationship Id="rId10" Type="http://schemas.openxmlformats.org/officeDocument/2006/relationships/hyperlink" Target="http://ieeexplore.ieee.org/xpl/articleDetails.jsp?tp=&amp;arnumber=6200199&amp;contentType=Conference+Publications&amp;pageNumber%3D2%26searchField%3DSearch_All%26queryText%3D.LB..LB.web+or+website+or+.QT.web+application.QT.+or+php.RB..RB.+and+.LB.test+or+testing+or+verification+or+analysis.RB." TargetMode="External"/><Relationship Id="rId13" Type="http://schemas.openxmlformats.org/officeDocument/2006/relationships/hyperlink" Target="http://ieeexplore.ieee.org/xpl/articleDetails.jsp?tp=&amp;arnumber=6200146&amp;contentType=Conference+Publications&amp;pageNumber%3D2%26searchField%3DSearch_All%26queryText%3D.LB..LB.web+or+website+or+.QT.web+application.QT.+or+php.RB..RB.+and+.LB.test+or+testing+or+verification+or+analysis.RB." TargetMode="External"/><Relationship Id="rId12" Type="http://schemas.openxmlformats.org/officeDocument/2006/relationships/hyperlink" Target="http://www.academicjournals.org/ijps/pdf/pdf2011/4Jul/Peng%20and%20Lu.pdf" TargetMode="External"/><Relationship Id="rId15" Type="http://schemas.openxmlformats.org/officeDocument/2006/relationships/hyperlink" Target="https://docs.google.com/file/d/0BzWeYCv5rkkzbEE0ZkFZWFJ1Znc/edit" TargetMode="External"/><Relationship Id="rId14" Type="http://schemas.openxmlformats.org/officeDocument/2006/relationships/hyperlink" Target="https://docs.google.com/file/d/0BzWeYCv5rkkzVlRKT3BKTWptMGs/edit" TargetMode="External"/><Relationship Id="rId17" Type="http://schemas.openxmlformats.org/officeDocument/2006/relationships/hyperlink" Target="https://docs.google.com/file/d/0BzWeYCv5rkkzZ3d6bkk5VFREalk/edit" TargetMode="External"/><Relationship Id="rId16" Type="http://schemas.openxmlformats.org/officeDocument/2006/relationships/hyperlink" Target="https://docs.google.com/file/d/0BzWeYCv5rkkzSDJENEJ0NEVmY1E/edit" TargetMode="External"/><Relationship Id="rId19" Type="http://schemas.openxmlformats.org/officeDocument/2006/relationships/hyperlink" Target="https://docs.google.com/file/d/0BzWeYCv5rkkzYW5NaWFoSFRnTzg/edit" TargetMode="External"/><Relationship Id="rId18" Type="http://schemas.openxmlformats.org/officeDocument/2006/relationships/hyperlink" Target="https://docs.google.com/file/d/0BzWeYCv5rkkzLUZucGJ6SkdCRFE/edit" TargetMode="External"/><Relationship Id="rId1" Type="http://schemas.openxmlformats.org/officeDocument/2006/relationships/comments" Target="../comments4.xml"/><Relationship Id="rId2" Type="http://schemas.openxmlformats.org/officeDocument/2006/relationships/hyperlink" Target="https://docs.google.com/file/d/0B6dKdxaNjBENX2h6bjlDVEF3MlE/edit" TargetMode="External"/><Relationship Id="rId3" Type="http://schemas.openxmlformats.org/officeDocument/2006/relationships/hyperlink" Target="https://docs.google.com/file/d/0B6dKdxaNjBENOURlYjM2MHBUa0U/edit" TargetMode="External"/><Relationship Id="rId4" Type="http://schemas.openxmlformats.org/officeDocument/2006/relationships/hyperlink" Target="https://docs.google.com/file/d/0B6dKdxaNjBENVnhsbEhIVmhvcE0/edit" TargetMode="External"/><Relationship Id="rId9" Type="http://schemas.openxmlformats.org/officeDocument/2006/relationships/hyperlink" Target="https://docs.google.com/file/d/0B6dKdxaNjBENQTdERDVybXRWeHM/edit" TargetMode="External"/><Relationship Id="rId5" Type="http://schemas.openxmlformats.org/officeDocument/2006/relationships/hyperlink" Target="https://docs.google.com/file/d/0B6dKdxaNjBENQ25FbzhwaDhTc00/edit" TargetMode="External"/><Relationship Id="rId6" Type="http://schemas.openxmlformats.org/officeDocument/2006/relationships/hyperlink" Target="http://ieeexplore.ieee.org/xpls/abs_all.jsp?arnumber=5070604&amp;tag=1" TargetMode="External"/><Relationship Id="rId7" Type="http://schemas.openxmlformats.org/officeDocument/2006/relationships/hyperlink" Target="https://docs.google.com/file/d/0BzWeYCv5rkkzeWUyZEFKMUlxamc/edit" TargetMode="External"/><Relationship Id="rId8" Type="http://schemas.openxmlformats.org/officeDocument/2006/relationships/hyperlink" Target="https://docs.google.com/file/d/0B6dKdxaNjBENRVJqcEtUb0RvVnc/edit"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docs.google.com/viewer?a=v&amp;pid=explorer&amp;chrome=true&amp;srcid=0B6dKdxaNjBENMWNiNjA2ZDMtMDk5Mi00MTdlLThjOTUtNTk2MmRjY2JiNjY0&amp;hl=en_US" TargetMode="External"/><Relationship Id="rId42" Type="http://schemas.openxmlformats.org/officeDocument/2006/relationships/hyperlink" Target="https://docs.google.com/viewer?a=v&amp;pid=explorer&amp;chrome=true&amp;srcid=0B6dKdxaNjBENMDdlYzZmMzUtYTMxNC00OTU2LTgzZDMtZDM2OWVhYjgxZDM1&amp;hl=en_US" TargetMode="External"/><Relationship Id="rId41" Type="http://schemas.openxmlformats.org/officeDocument/2006/relationships/hyperlink" Target="https://docs.google.com/viewer?a=v&amp;pid=explorer&amp;chrome=true&amp;srcid=0B6dKdxaNjBENNzFjODRmYzUtMzAyZC00ZWNkLWJiM2QtZmI5YzQ0ZjY2Njkx&amp;hl=en_US" TargetMode="External"/><Relationship Id="rId44" Type="http://schemas.openxmlformats.org/officeDocument/2006/relationships/hyperlink" Target="https://docs.google.com/viewer?a=v&amp;pid=explorer&amp;chrome=true&amp;srcid=0B6dKdxaNjBENNzQyNjQwOWItNzQ1Mi00YzE5LWJhMzctZGRlNWFhNWY4MDcw&amp;hl=en_US" TargetMode="External"/><Relationship Id="rId43" Type="http://schemas.openxmlformats.org/officeDocument/2006/relationships/hyperlink" Target="https://docs.google.com/file/d/0B6dKdxaNjBENemJKM1EwY3pkXzg/edit" TargetMode="External"/><Relationship Id="rId46" Type="http://schemas.openxmlformats.org/officeDocument/2006/relationships/hyperlink" Target="https://docs.google.com/viewer?a=v&amp;pid=explorer&amp;chrome=true&amp;srcid=0B6dKdxaNjBENMWMxZWJlNzgtZDNiMi00YTEyLWFiNGUtN2JiNzEwMThmNWVh&amp;hl=en_US" TargetMode="External"/><Relationship Id="rId45" Type="http://schemas.openxmlformats.org/officeDocument/2006/relationships/hyperlink" Target="https://docs.google.com/viewer?a=v&amp;pid=explorer&amp;chrome=true&amp;srcid=0B6dKdxaNjBENYzgxYjRjOWEtOGFkOC00MDBlLTk4ZmEtOWI2M2Y0MDkzMThk&amp;hl=en_US" TargetMode="External"/><Relationship Id="rId48" Type="http://schemas.openxmlformats.org/officeDocument/2006/relationships/hyperlink" Target="https://docs.google.com/viewer?a=v&amp;pid=explorer&amp;chrome=true&amp;srcid=0B6dKdxaNjBENMTI4ZTJhMmEtNDE5Ny00MDA3LTg4MzgtMGJhMDBjMTVmYzk3&amp;hl=en_US" TargetMode="External"/><Relationship Id="rId47" Type="http://schemas.openxmlformats.org/officeDocument/2006/relationships/hyperlink" Target="http://www.seas.smu.edu" TargetMode="External"/><Relationship Id="rId49" Type="http://schemas.openxmlformats.org/officeDocument/2006/relationships/hyperlink" Target="https://docs.google.com/viewer?a=v&amp;pid=explorer&amp;chrome=true&amp;srcid=0B6dKdxaNjBENZDQ4YmI4ZWQtNzY0OC00ZDExLWFiYzMtMTY5YTkwNzQ2NDYw&amp;hl=en_US" TargetMode="External"/><Relationship Id="rId31" Type="http://schemas.openxmlformats.org/officeDocument/2006/relationships/hyperlink" Target="https://docs.google.com/viewer?a=v&amp;pid=explorer&amp;chrome=true&amp;srcid=0B6dKdxaNjBENMzY0OGNmMDUtOTliOS00NTc0LWE4ZmYtYTA5OTUxYThjOTZi&amp;hl=en_US" TargetMode="External"/><Relationship Id="rId30" Type="http://schemas.openxmlformats.org/officeDocument/2006/relationships/hyperlink" Target="https://docs.google.com/viewer?a=v&amp;pid=explorer&amp;chrome=true&amp;srcid=0B6dKdxaNjBENYmJkYjE3YWYtN2I0NC00ZGRiLTllZDAtNjA1MjhjZTdmMzE5&amp;hl=en_US" TargetMode="External"/><Relationship Id="rId33" Type="http://schemas.openxmlformats.org/officeDocument/2006/relationships/hyperlink" Target="https://docs.google.com/viewer?a=v&amp;pid=explorer&amp;chrome=true&amp;srcid=0B6dKdxaNjBENMjgzMTQ4ZDMtYzUyNy00ZGRjLTg4MGEtNTVhY2NiZmY3NmRh&amp;hl=en_US" TargetMode="External"/><Relationship Id="rId32" Type="http://schemas.openxmlformats.org/officeDocument/2006/relationships/hyperlink" Target="http://wwwcsif.cs.ucdavis.edu/~wassermg/research/issta08.pdf" TargetMode="External"/><Relationship Id="rId35" Type="http://schemas.openxmlformats.org/officeDocument/2006/relationships/hyperlink" Target="https://docs.google.com/viewer?a=v&amp;pid=explorer&amp;chrome=true&amp;srcid=0B6dKdxaNjBENZmU2ZjQ2ZmUtMTg5My00NzM3LWJmYTAtYTA1MTk3NWVlNDZm&amp;hl=en_US" TargetMode="External"/><Relationship Id="rId34" Type="http://schemas.openxmlformats.org/officeDocument/2006/relationships/hyperlink" Target="https://docs.google.com/viewer?a=v&amp;pid=explorer&amp;chrome=true&amp;srcid=0B6dKdxaNjBENNDRkNzE2YzgtZjA1OC00YzY5LWIxOTItYWJmNjI3OWYyNTkx&amp;hl=en_US" TargetMode="External"/><Relationship Id="rId37" Type="http://schemas.openxmlformats.org/officeDocument/2006/relationships/hyperlink" Target="https://docs.google.com/viewer?a=v&amp;pid=explorer&amp;chrome=true&amp;srcid=0B6dKdxaNjBENMGQzZDgxZWYtZTc2Yi00YzgyLWIyZGEtZDQyMmMyYjEwY2Nj&amp;hl=en_US" TargetMode="External"/><Relationship Id="rId36" Type="http://schemas.openxmlformats.org/officeDocument/2006/relationships/hyperlink" Target="https://docs.google.com/viewer?a=v&amp;pid=explorer&amp;chrome=true&amp;srcid=0B6dKdxaNjBENZjc2ZjM5ZTEtYjBhMS00MmJiLTg5NjYtYTk2MDViYWE1ZGU4&amp;hl=en_US" TargetMode="External"/><Relationship Id="rId39" Type="http://schemas.openxmlformats.org/officeDocument/2006/relationships/hyperlink" Target="https://docs.google.com/viewer?a=v&amp;pid=explorer&amp;chrome=true&amp;srcid=0B6dKdxaNjBENZWQwOWI5ZWMtMGY3Mi00ZTg3LTlkZjMtNDAwYTM4Nzk3NTky&amp;hl=en_US" TargetMode="External"/><Relationship Id="rId38" Type="http://schemas.openxmlformats.org/officeDocument/2006/relationships/hyperlink" Target="https://docs.google.com/viewer?a=v&amp;pid=explorer&amp;chrome=true&amp;srcid=0B6dKdxaNjBENZjFhMzJjMmYtZjBjNy00NzkyLWFkZjktMjNlMWUxMDU5N2E3&amp;hl=en_US" TargetMode="External"/><Relationship Id="rId20" Type="http://schemas.openxmlformats.org/officeDocument/2006/relationships/hyperlink" Target="https://docs.google.com/viewer?a=v&amp;pid=explorer&amp;chrome=true&amp;srcid=0B6dKdxaNjBENYmFmYmUwMDEtMGM1Yy00ZjBmLTg3NTMtMzgxODk4YWNjNmY1&amp;hl=en_US" TargetMode="External"/><Relationship Id="rId22" Type="http://schemas.openxmlformats.org/officeDocument/2006/relationships/hyperlink" Target="https://docs.google.com/viewer?a=v&amp;pid=explorer&amp;chrome=true&amp;srcid=0B6dKdxaNjBENMTYwNDc1ODctMDRlNi00MGE2LWIwZjItODEwMTk1YTdmYjQy&amp;hl=en_US" TargetMode="External"/><Relationship Id="rId21" Type="http://schemas.openxmlformats.org/officeDocument/2006/relationships/hyperlink" Target="https://docs.google.com/viewer?a=v&amp;pid=explorer&amp;chrome=true&amp;srcid=0B6dKdxaNjBENMTIyNmRiYTEtOGVhNi00YmQyLTk0NjYtYmFmMWUxNzhjNWFi&amp;hl=en_US" TargetMode="External"/><Relationship Id="rId24" Type="http://schemas.openxmlformats.org/officeDocument/2006/relationships/hyperlink" Target="https://docs.google.com/viewer?a=v&amp;pid=explorer&amp;chrome=true&amp;srcid=0B6dKdxaNjBENNjhhNmE0MDctYWJiZC00NTI3LWIyODgtMGE4Nzg0MWZhMWI0&amp;hl=en_US" TargetMode="External"/><Relationship Id="rId23" Type="http://schemas.openxmlformats.org/officeDocument/2006/relationships/hyperlink" Target="https://docs.google.com/viewer?a=v&amp;pid=explorer&amp;chrome=true&amp;srcid=0B6dKdxaNjBENYmUyMjNhNzgtYmE4MC00MGQ0LTk5YTUtN2I3NTlhNDEwZDdl&amp;hl=en_US" TargetMode="External"/><Relationship Id="rId26" Type="http://schemas.openxmlformats.org/officeDocument/2006/relationships/hyperlink" Target="https://docs.google.com/viewer?a=v&amp;pid=explorer&amp;chrome=true&amp;srcid=0B6dKdxaNjBENODE1ZWJjOWYtM2FiNS00YjAzLThhMTktYzViMzZjY2ExNzIx&amp;hl=en_US" TargetMode="External"/><Relationship Id="rId25" Type="http://schemas.openxmlformats.org/officeDocument/2006/relationships/hyperlink" Target="https://docs.google.com/viewer?a=v&amp;pid=explorer&amp;chrome=true&amp;srcid=0B6dKdxaNjBENMjBhOGI4OTctZWIxNS00Y2Q1LTkzNmYtYTdjMTU1YmQ5NDFh&amp;hl=en_US" TargetMode="External"/><Relationship Id="rId28" Type="http://schemas.openxmlformats.org/officeDocument/2006/relationships/hyperlink" Target="https://docs.google.com/viewer?a=v&amp;pid=explorer&amp;chrome=true&amp;srcid=0B6dKdxaNjBENZTAxMzdhYzQtNDZiYi00ZWJhLWJiZjItMzVlZDMzZjc2NTdl&amp;hl=en_US" TargetMode="External"/><Relationship Id="rId27" Type="http://schemas.openxmlformats.org/officeDocument/2006/relationships/hyperlink" Target="https://docs.google.com/viewer?a=v&amp;pid=explorer&amp;chrome=true&amp;srcid=0B6dKdxaNjBENODBmYmQwMmQtMDQyOS00YjMxLWExOGUtNTkxNjE4MjEwOGI2&amp;hl=en_US" TargetMode="External"/><Relationship Id="rId29" Type="http://schemas.openxmlformats.org/officeDocument/2006/relationships/hyperlink" Target="https://docs.google.com/viewer?a=v&amp;pid=explorer&amp;chrome=true&amp;srcid=0B6dKdxaNjBENNjNhNjQ3MzUtMDllZC00YzI4LWJlZmQtYzc5OTFkNzM2YWQw&amp;hl=en_US" TargetMode="External"/><Relationship Id="rId11" Type="http://schemas.openxmlformats.org/officeDocument/2006/relationships/hyperlink" Target="https://docs.google.com/viewer?a=v&amp;pid=explorer&amp;chrome=true&amp;srcid=0B6dKdxaNjBENNDAyYzNjNGItMzRhYS00NThlLWEwMmMtMmE2OGE0YWNkODli&amp;hl=en_US" TargetMode="External"/><Relationship Id="rId10" Type="http://schemas.openxmlformats.org/officeDocument/2006/relationships/hyperlink" Target="https://docs.google.com/viewer?a=v&amp;pid=explorer&amp;chrome=true&amp;srcid=0B6dKdxaNjBENYWYzYzkyZTgtNTc1YS00Mzk0LWJjNWQtOWYwYTM5M2MxYmE0&amp;hl=en_US" TargetMode="External"/><Relationship Id="rId13" Type="http://schemas.openxmlformats.org/officeDocument/2006/relationships/hyperlink" Target="https://docs.google.com/viewer?a=v&amp;pid=explorer&amp;chrome=true&amp;srcid=0B6dKdxaNjBENMGYzY2EwMDAtZjg0My00MzY1LTlkNWMtYzcyYmVkMDdiYTZl&amp;hl=en_US" TargetMode="External"/><Relationship Id="rId12" Type="http://schemas.openxmlformats.org/officeDocument/2006/relationships/hyperlink" Target="https://docs.google.com/viewer?a=v&amp;pid=explorer&amp;chrome=true&amp;srcid=0B6dKdxaNjBENZjgwZmE2MzgtM2YxMy00YmE3LTg2OGEtMDk5ZjJkNWE1ZWNi&amp;hl=en_US" TargetMode="External"/><Relationship Id="rId15" Type="http://schemas.openxmlformats.org/officeDocument/2006/relationships/hyperlink" Target="https://docs.google.com/viewer?a=v&amp;pid=explorer&amp;chrome=true&amp;srcid=0B6dKdxaNjBENNDA1MTdkMjYtZDlmMC00ODUwLWFmYWYtYzA5NTEzYjkzYjNk&amp;hl=en_US" TargetMode="External"/><Relationship Id="rId14" Type="http://schemas.openxmlformats.org/officeDocument/2006/relationships/hyperlink" Target="https://docs.google.com/viewer?a=v&amp;pid=explorer&amp;chrome=true&amp;srcid=0B6dKdxaNjBENYmIwMzQyNmItYTc3Mi00MGZhLThjOTMtZTYyMGZmNGYwMTA3&amp;hl=en_US" TargetMode="External"/><Relationship Id="rId17" Type="http://schemas.openxmlformats.org/officeDocument/2006/relationships/hyperlink" Target="https://docs.google.com/viewer?a=v&amp;pid=explorer&amp;chrome=true&amp;srcid=0B6dKdxaNjBENN2RiOTRmYjQtMjlhMS00NzYwLWI2MmItZGMwZDdmYTg2MGRi&amp;hl=en_US" TargetMode="External"/><Relationship Id="rId16" Type="http://schemas.openxmlformats.org/officeDocument/2006/relationships/hyperlink" Target="https://docs.google.com/viewer?a=v&amp;pid=explorer&amp;chrome=true&amp;srcid=0B6dKdxaNjBENY2NmODQzMmMtMDdmYi00YmU1LWI4OWMtZjY0MDVmNWVhODc1&amp;hl=en_US" TargetMode="External"/><Relationship Id="rId19" Type="http://schemas.openxmlformats.org/officeDocument/2006/relationships/hyperlink" Target="https://docs.google.com/viewer?a=v&amp;pid=explorer&amp;chrome=true&amp;srcid=0B6dKdxaNjBENM2E3Yjg2NTItMGRjMy00MTk0LTgzZTgtNzFjOGJkMzlmMDMx&amp;hl=en_US" TargetMode="External"/><Relationship Id="rId18" Type="http://schemas.openxmlformats.org/officeDocument/2006/relationships/hyperlink" Target="http://www.google.ca/url?sa=t&amp;source=web&amp;cd=1&amp;ved=0CBcQFjAA&amp;url=http%3A%2F%2Fwww.cs.queensu.ca%2Fhome%2Fcordy%2FPapers%2FACD_CSMR10_Coverage.pdf&amp;rct=j&amp;q=Automating%20Coverage%20Metrics%20for%20Dynamic%20Web%20Applications&amp;ei=y_g6Tvr4LOzUiALg19n5Cw&amp;usg=AFQjCNFiRAmHcz6aNGeXm0bDX3SPkJ9TBQ&amp;sig2=mOY0RvXmW-MVMLSlHHbS5Q&amp;cad=rja" TargetMode="External"/><Relationship Id="rId84" Type="http://schemas.openxmlformats.org/officeDocument/2006/relationships/vmlDrawing" Target="../drawings/vmlDrawing5.vml"/><Relationship Id="rId83" Type="http://schemas.openxmlformats.org/officeDocument/2006/relationships/drawing" Target="../drawings/drawing5.xml"/><Relationship Id="rId80" Type="http://schemas.openxmlformats.org/officeDocument/2006/relationships/hyperlink" Target="https://docs.google.com/viewer?a=v&amp;pid=explorer&amp;chrome=true&amp;srcid=0B6dKdxaNjBENMzJkYTg0NDYtYzNiMC00NjFjLThkNjctY2I1NjVhMGE0MmU0&amp;hl=en_US" TargetMode="External"/><Relationship Id="rId82" Type="http://schemas.openxmlformats.org/officeDocument/2006/relationships/hyperlink" Target="https://docs.google.com/viewer?a=v&amp;pid=explorer&amp;chrome=true&amp;srcid=0B6dKdxaNjBENMmVmMjA5YTktODJhOS00Y2IxLWExMzEtZWM0MDczODA4MjUx&amp;hl=en_US" TargetMode="External"/><Relationship Id="rId81" Type="http://schemas.openxmlformats.org/officeDocument/2006/relationships/hyperlink" Target="https://docs.google.com/viewer?a=v&amp;pid=explorer&amp;chrome=true&amp;srcid=0B6dKdxaNjBENYzVmMTMwMmQtMjkyYy00MzM3LWI2OWEtNGU2NmRkYWE3NGE4&amp;hl=en_US" TargetMode="External"/><Relationship Id="rId1" Type="http://schemas.openxmlformats.org/officeDocument/2006/relationships/comments" Target="../comments5.xml"/><Relationship Id="rId2" Type="http://schemas.openxmlformats.org/officeDocument/2006/relationships/hyperlink" Target="https://docs.google.com/file/d/0B6dKdxaNjBENc1hXRm9WZWVlOU0/edit" TargetMode="External"/><Relationship Id="rId3" Type="http://schemas.openxmlformats.org/officeDocument/2006/relationships/hyperlink" Target="https://docs.google.com/viewer?a=v&amp;pid=explorer&amp;chrome=true&amp;srcid=0B6dKdxaNjBENMjI4MWFkZGYtYjhhNS00YThhLWE4NTktZjg3Y2I5MjExODJm&amp;hl=en_US" TargetMode="External"/><Relationship Id="rId4" Type="http://schemas.openxmlformats.org/officeDocument/2006/relationships/hyperlink" Target="https://docs.google.com/viewer?a=v&amp;pid=explorer&amp;chrome=true&amp;srcid=0B6dKdxaNjBENOTYxMmYwNDktMmU1Yy00NjRjLWI0YmQtZTAzNWExOWQzMTky&amp;hl=en_US" TargetMode="External"/><Relationship Id="rId9" Type="http://schemas.openxmlformats.org/officeDocument/2006/relationships/hyperlink" Target="https://docs.google.com/viewer?a=v&amp;pid=explorer&amp;chrome=true&amp;srcid=0B6dKdxaNjBENZTk5YTFmYmEtYjZiNy00MmFjLTlhNjEtOWRiNzA3M2ZiOGY1&amp;hl=en_US" TargetMode="External"/><Relationship Id="rId5" Type="http://schemas.openxmlformats.org/officeDocument/2006/relationships/hyperlink" Target="https://docs.google.com/viewer?a=v&amp;pid=explorer&amp;chrome=true&amp;srcid=0B6dKdxaNjBENMDA5YjEzMWEtZmZjMi00ZTUzLWI0NTgtZGRlOGM3Y2Q4ZmU2&amp;hl=en_US" TargetMode="External"/><Relationship Id="rId6" Type="http://schemas.openxmlformats.org/officeDocument/2006/relationships/hyperlink" Target="https://docs.google.com/viewer?a=v&amp;pid=explorer&amp;chrome=true&amp;srcid=0B6dKdxaNjBENOGYxM2Q0NjMtZjVlMC00NDVlLWFmZDAtNjQwZTlhMTY0YWEw&amp;hl=en_US" TargetMode="External"/><Relationship Id="rId7" Type="http://schemas.openxmlformats.org/officeDocument/2006/relationships/hyperlink" Target="https://docs.google.com/viewer?a=v&amp;pid=explorer&amp;chrome=true&amp;srcid=0B6dKdxaNjBENMzY5MWQ4MWEtMDZmNy00ZmMyLWE3YmEtYTFmYTEzMmRjNDc0&amp;hl=en_US" TargetMode="External"/><Relationship Id="rId8" Type="http://schemas.openxmlformats.org/officeDocument/2006/relationships/hyperlink" Target="https://docs.google.com/viewer?a=v&amp;pid=explorer&amp;chrome=true&amp;srcid=0B6dKdxaNjBENMDliMWQ4YWItOTcwOC00OGZmLWI0OTAtNzQ1ZTE4OWVmZDU3&amp;hl=en_US" TargetMode="External"/><Relationship Id="rId73" Type="http://schemas.openxmlformats.org/officeDocument/2006/relationships/hyperlink" Target="http://widgets.com" TargetMode="External"/><Relationship Id="rId72" Type="http://schemas.openxmlformats.org/officeDocument/2006/relationships/hyperlink" Target="https://docs.google.com/viewer?a=v&amp;pid=explorer&amp;chrome=true&amp;srcid=0B6dKdxaNjBENNWEzNGNiYjQtMTUwMC00ZDY2LTkyNzctM2JmNmQ4YTE4NzJj&amp;hl=en_US" TargetMode="External"/><Relationship Id="rId75" Type="http://schemas.openxmlformats.org/officeDocument/2006/relationships/hyperlink" Target="https://docs.google.com/viewer?a=v&amp;pid=explorer&amp;chrome=true&amp;srcid=0B6dKdxaNjBENNDNhMjQ2OWUtYTgwMC00MDBlLWJhOGItN2JmNzdjMDhjNWFi&amp;hl=en_US" TargetMode="External"/><Relationship Id="rId74" Type="http://schemas.openxmlformats.org/officeDocument/2006/relationships/hyperlink" Target="https://docs.google.com/viewer?a=v&amp;pid=explorer&amp;chrome=true&amp;srcid=0B6dKdxaNjBENMmVkZjI1ZjYtM2E0Ni00NDIzLThkZjQtNDUyOWY0Y2QwNTNl&amp;hl=en_US" TargetMode="External"/><Relationship Id="rId77" Type="http://schemas.openxmlformats.org/officeDocument/2006/relationships/hyperlink" Target="https://docs.google.com/viewer?a=v&amp;pid=explorer&amp;chrome=true&amp;srcid=0B6dKdxaNjBENOTA0NDJkNGQtODE5MS00YzlhLWIyODctMzJiMTA4YWE4ZmVl&amp;hl=en_US" TargetMode="External"/><Relationship Id="rId76" Type="http://schemas.openxmlformats.org/officeDocument/2006/relationships/hyperlink" Target="https://docs.google.com/viewer?a=v&amp;pid=explorer&amp;chrome=true&amp;srcid=0B6dKdxaNjBENMDM3YjM2YjAtODljNS00NGI1LTgzNTUtYTVmY2Q4YjE2Y2Mx&amp;hl=en_US" TargetMode="External"/><Relationship Id="rId79" Type="http://schemas.openxmlformats.org/officeDocument/2006/relationships/hyperlink" Target="https://docs.google.com/viewer?a=v&amp;pid=explorer&amp;chrome=true&amp;srcid=0B6dKdxaNjBENNWIxZGFmMmYtODQwMC00MDU3LTk0YTEtZjc3M2I1M2UyMjYw&amp;hl=en_US" TargetMode="External"/><Relationship Id="rId78" Type="http://schemas.openxmlformats.org/officeDocument/2006/relationships/hyperlink" Target="https://docs.google.com/viewer?a=v&amp;pid=explorer&amp;chrome=true&amp;srcid=0B6dKdxaNjBENZjVhZWQyOTUtOGY2ZC00NmU4LWIzYTMtZjMyOThhOWY0MWYw&amp;hl=en_US" TargetMode="External"/><Relationship Id="rId71" Type="http://schemas.openxmlformats.org/officeDocument/2006/relationships/hyperlink" Target="https://docs.google.com/viewer?a=v&amp;pid=explorer&amp;chrome=true&amp;srcid=0B6dKdxaNjBENODBlY2EzYTMtYzE1ZC00MjQxLWJjN2QtZDUwM2YyZWEzMGJm&amp;hl=en_US" TargetMode="External"/><Relationship Id="rId70" Type="http://schemas.openxmlformats.org/officeDocument/2006/relationships/hyperlink" Target="https://docs.google.com/viewer?a=v&amp;pid=explorer&amp;chrome=true&amp;srcid=0B6dKdxaNjBENYTE5Njk5MWQtY2E0Mi00ZWE3LTg2YWItZTEwM2E3N2U3ODc5&amp;hl=en_US" TargetMode="External"/><Relationship Id="rId62" Type="http://schemas.openxmlformats.org/officeDocument/2006/relationships/hyperlink" Target="https://docs.google.com/viewer?a=v&amp;pid=explorer&amp;chrome=true&amp;srcid=0B6dKdxaNjBENNzUyYTQ4YTYtNDg3NS00ZGQ3LTk0MzgtMzE4OGJkYzM1ZjBj&amp;hl=en_US" TargetMode="External"/><Relationship Id="rId61" Type="http://schemas.openxmlformats.org/officeDocument/2006/relationships/hyperlink" Target="https://docs.google.com/viewer?a=v&amp;pid=explorer&amp;chrome=true&amp;srcid=0B6dKdxaNjBENOTdlNzdhYjAtNjIyNy00Nzc5LWFjYWItNzUxYWZkNWE5ZmVi&amp;hl=en_US" TargetMode="External"/><Relationship Id="rId64" Type="http://schemas.openxmlformats.org/officeDocument/2006/relationships/hyperlink" Target="https://docs.google.com/viewer?a=v&amp;pid=explorer&amp;chrome=true&amp;srcid=0B6dKdxaNjBENNTg3NTJmYzQtYjlmMC00OGQ1LWI2NWItNWZkMDRkMDE1ZDQ2&amp;hl=en_US" TargetMode="External"/><Relationship Id="rId63" Type="http://schemas.openxmlformats.org/officeDocument/2006/relationships/hyperlink" Target="https://docs.google.com/viewer?a=v&amp;pid=explorer&amp;chrome=true&amp;srcid=0B6dKdxaNjBENMzIxYWRiMTgtZDJjMi00ZDg5LThmZGYtMTgyY2U3MDBlOTNm&amp;hl=en_US" TargetMode="External"/><Relationship Id="rId66" Type="http://schemas.openxmlformats.org/officeDocument/2006/relationships/hyperlink" Target="https://docs.google.com/viewer?a=v&amp;pid=explorer&amp;chrome=true&amp;srcid=0B6dKdxaNjBENYWM4YmM5NWYtNmNlMi00MjUwLWFmZWQtOTBkOGIxYjhjNGVj&amp;hl=en_US" TargetMode="External"/><Relationship Id="rId65" Type="http://schemas.openxmlformats.org/officeDocument/2006/relationships/hyperlink" Target="https://docs.google.com/viewer?a=v&amp;pid=explorer&amp;chrome=true&amp;srcid=0B6dKdxaNjBENNmIyNzRlNWYtNzI2Ny00MzBhLTk3YjctY2JjODkzNTA2NDFi&amp;hl=en_US" TargetMode="External"/><Relationship Id="rId68" Type="http://schemas.openxmlformats.org/officeDocument/2006/relationships/hyperlink" Target="https://docs.google.com/viewer?a=v&amp;pid=explorer&amp;chrome=true&amp;srcid=0B6dKdxaNjBENZWUxYTYyZTktYjQ2Ni00NzVhLWI3NTItZjE1MzhmMmFiOWQ1&amp;hl=en_US" TargetMode="External"/><Relationship Id="rId67" Type="http://schemas.openxmlformats.org/officeDocument/2006/relationships/hyperlink" Target="https://docs.google.com/viewer?a=v&amp;pid=explorer&amp;chrome=true&amp;srcid=0B6dKdxaNjBENNTIzMDBjOWItNTYxMS00ZDFhLTk4MDYtNjM1MjRiMGJjMGY5&amp;hl=en_US" TargetMode="External"/><Relationship Id="rId60" Type="http://schemas.openxmlformats.org/officeDocument/2006/relationships/hyperlink" Target="https://docs.google.com/viewer?a=v&amp;pid=explorer&amp;chrome=true&amp;srcid=0B6dKdxaNjBENNWVlMDg4YmMtNThmNS00OTk2LWJlMmYtNmI5NzViYjk1OTQy&amp;hl=en_US" TargetMode="External"/><Relationship Id="rId69" Type="http://schemas.openxmlformats.org/officeDocument/2006/relationships/hyperlink" Target="https://docs.google.com/viewer?a=v&amp;pid=explorer&amp;chrome=true&amp;srcid=0B6dKdxaNjBENNmFjMTU2YWItMjc5OS00MGFmLWIxNjItYTEyNWRkOTgxYTZk&amp;hl=en_US" TargetMode="External"/><Relationship Id="rId51" Type="http://schemas.openxmlformats.org/officeDocument/2006/relationships/hyperlink" Target="https://docs.google.com/viewer?a=v&amp;pid=explorer&amp;chrome=true&amp;srcid=0B6dKdxaNjBENZmFmZTM4YjctMmIyNy00YzYzLTlmNjQtMzMzYTBiMDA2ZmE5&amp;hl=en_US" TargetMode="External"/><Relationship Id="rId50" Type="http://schemas.openxmlformats.org/officeDocument/2006/relationships/hyperlink" Target="https://docs.google.com/viewer?a=v&amp;pid=explorer&amp;chrome=true&amp;srcid=0B6dKdxaNjBENNTZiZjVjNTUtYmM1Zi00NjllLWExOWUtNmRiZDBkMzgzZDg4&amp;hl=en_US" TargetMode="External"/><Relationship Id="rId53" Type="http://schemas.openxmlformats.org/officeDocument/2006/relationships/hyperlink" Target="https://docs.google.com/viewer?a=v&amp;pid=explorer&amp;chrome=true&amp;srcid=0B6dKdxaNjBENMGUyNWNmZWQtNWVmNy00NGE0LWJlNWItZWU2NGI2MGUyOTJk&amp;hl=en_US" TargetMode="External"/><Relationship Id="rId52" Type="http://schemas.openxmlformats.org/officeDocument/2006/relationships/hyperlink" Target="http://cs.au.dk/~amoeller/papers/dom/paper.pdf" TargetMode="External"/><Relationship Id="rId55" Type="http://schemas.openxmlformats.org/officeDocument/2006/relationships/hyperlink" Target="https://docs.google.com/viewer?a=v&amp;pid=explorer&amp;chrome=true&amp;srcid=0B6dKdxaNjBENMWY4MzJlN2YtOWE4NS00YWEyLThkODQtOGM5YzQyMTg4ZTI4&amp;hl=en_US" TargetMode="External"/><Relationship Id="rId54" Type="http://schemas.openxmlformats.org/officeDocument/2006/relationships/hyperlink" Target="https://docs.google.com/viewer?a=v&amp;pid=explorer&amp;chrome=true&amp;srcid=0B6dKdxaNjBENZTliM2Q1NzQtZDc4Ny00Mjg2LWE4MDMtNTc5YTg0YWJkNDEy&amp;hl=en_US" TargetMode="External"/><Relationship Id="rId57" Type="http://schemas.openxmlformats.org/officeDocument/2006/relationships/hyperlink" Target="https://docs.google.com/viewer?a=v&amp;pid=explorer&amp;chrome=true&amp;srcid=0B6dKdxaNjBENYzRmNzcwMGMtYjdlNi00MmI2LTgyMTEtYzBlYjZkODU3YTYz&amp;hl=en_US" TargetMode="External"/><Relationship Id="rId56" Type="http://schemas.openxmlformats.org/officeDocument/2006/relationships/hyperlink" Target="https://docs.google.com/viewer?a=v&amp;pid=explorer&amp;chrome=true&amp;srcid=0B6dKdxaNjBENZjAzYjU5ODItM2VjYy00MWFjLTkzYzgtODhlZDBlODQyNmVl&amp;hl=en_US" TargetMode="External"/><Relationship Id="rId59" Type="http://schemas.openxmlformats.org/officeDocument/2006/relationships/hyperlink" Target="https://docs.google.com/viewer?a=v&amp;pid=explorer&amp;chrome=true&amp;srcid=0B6dKdxaNjBENNTlkNTFkZjItODgxYS00YTI1LWEzMDMtZWNlNDE1M2ZiMThi&amp;hl=en_US" TargetMode="External"/><Relationship Id="rId58" Type="http://schemas.openxmlformats.org/officeDocument/2006/relationships/hyperlink" Target="https://docs.google.com/viewer?a=v&amp;pid=explorer&amp;chrome=true&amp;srcid=0B6dKdxaNjBENZTdmMjI1NTItYTNhZi00NTRjLTg4MmQtNWQ1ZjMwZWMyNzI0&amp;hl=en_US"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7.xml"/><Relationship Id="rId3"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11" Type="http://schemas.openxmlformats.org/officeDocument/2006/relationships/drawing" Target="../drawings/drawing8.xml"/><Relationship Id="rId10" Type="http://schemas.openxmlformats.org/officeDocument/2006/relationships/hyperlink" Target="https://docs.google.com/file/d/0BzWeYCv5rkkzLWVDRWFIVjVTVkk/edit" TargetMode="External"/><Relationship Id="rId12" Type="http://schemas.openxmlformats.org/officeDocument/2006/relationships/vmlDrawing" Target="../drawings/vmlDrawing7.vml"/><Relationship Id="rId1" Type="http://schemas.openxmlformats.org/officeDocument/2006/relationships/comments" Target="../comments7.xml"/><Relationship Id="rId2" Type="http://schemas.openxmlformats.org/officeDocument/2006/relationships/hyperlink" Target="https://docs.google.com/file/d/0BzWeYCv5rkkzeWUyZEFKMUlxamc/edit" TargetMode="External"/><Relationship Id="rId3" Type="http://schemas.openxmlformats.org/officeDocument/2006/relationships/hyperlink" Target="https://docs.google.com/viewer?a=v&amp;pid=explorer&amp;chrome=true&amp;srcid=0B6dKdxaNjBENNDBkMzA0OWEtNDE2NC00YTNiLWJkYzItZjUyYjBlNzJkOTkw&amp;hl=en_US" TargetMode="External"/><Relationship Id="rId4" Type="http://schemas.openxmlformats.org/officeDocument/2006/relationships/hyperlink" Target="https://docs.google.com/viewer?a=v&amp;pid=explorer&amp;chrome=true&amp;srcid=0B6dKdxaNjBENZjAxNjM2ZWMtNTQwNS00MWViLWI5YTUtNzMxYmY0NTUxYzg0&amp;hl=en_US" TargetMode="External"/><Relationship Id="rId9" Type="http://schemas.openxmlformats.org/officeDocument/2006/relationships/hyperlink" Target="https://docs.google.com/viewer?a=v&amp;pid=explorer&amp;chrome=true&amp;srcid=0B6dKdxaNjBENODE0NzlmMDgtNmM5My00MmFmLTljMGItZmFjYjYwY2U0MGE1&amp;hl=en_US" TargetMode="External"/><Relationship Id="rId5" Type="http://schemas.openxmlformats.org/officeDocument/2006/relationships/hyperlink" Target="https://docs.google.com/viewer?a=v&amp;pid=explorer&amp;chrome=true&amp;srcid=0B6dKdxaNjBENZmE0NjNkYzktMjQ4YS00MmI3LTllZjUtODc4YWIwODJjODRh&amp;hl=en_US" TargetMode="External"/><Relationship Id="rId6" Type="http://schemas.openxmlformats.org/officeDocument/2006/relationships/hyperlink" Target="https://docs.google.com/viewer?a=v&amp;pid=explorer&amp;chrome=true&amp;srcid=0B6dKdxaNjBENZmU1N2E0NzctMGRkMC00MzY4LTg0MGQtNjNmNjllYWVkZjNj&amp;hl=en_US" TargetMode="External"/><Relationship Id="rId7" Type="http://schemas.openxmlformats.org/officeDocument/2006/relationships/hyperlink" Target="https://docs.google.com/file/d/0BzWeYCv5rkkzclNpS3ZNN2ZIdTg/edit" TargetMode="External"/><Relationship Id="rId8" Type="http://schemas.openxmlformats.org/officeDocument/2006/relationships/hyperlink" Target="https://docs.google.com/file/d/0B6dKdxaNjBENcFE3QU42cUpxc2s/edit"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docs.google.com/viewer?a=v&amp;pid=explorer&amp;chrome=true&amp;srcid=0B6dKdxaNjBENYjI3OTliOGQtZWEwZi00OWYxLWI0N2YtOGVmMzNjMjgzNjc4&amp;hl=en_US" TargetMode="External"/><Relationship Id="rId42" Type="http://schemas.openxmlformats.org/officeDocument/2006/relationships/hyperlink" Target="https://docs.google.com/viewer?a=v&amp;pid=explorer&amp;chrome=true&amp;srcid=0B6dKdxaNjBENYTUzYmVjYTctN2JlMy00NzE2LThkZmItMDNmNzgxNWUzYTU4&amp;hl=en_US" TargetMode="External"/><Relationship Id="rId41" Type="http://schemas.openxmlformats.org/officeDocument/2006/relationships/hyperlink" Target="https://docs.google.com/viewer?a=v&amp;pid=explorer&amp;chrome=true&amp;srcid=0B6dKdxaNjBENMjZjOWQ3OWQtYzhhOC00Nzk3LTljOTEtNzFiZDlmNDRkMmNi&amp;hl=en_US" TargetMode="External"/><Relationship Id="rId44" Type="http://schemas.openxmlformats.org/officeDocument/2006/relationships/hyperlink" Target="https://docs.google.com/viewer?a=v&amp;pid=explorer&amp;chrome=true&amp;srcid=0B6dKdxaNjBENMWFiOGIyODktNGM4MC00NzgzLWEwMjYtMGFjYmE5MWNlOThj&amp;hl=en_US" TargetMode="External"/><Relationship Id="rId43" Type="http://schemas.openxmlformats.org/officeDocument/2006/relationships/hyperlink" Target="https://docs.google.com/viewer?a=v&amp;pid=explorer&amp;chrome=true&amp;srcid=0B6dKdxaNjBENYTIzYTAzNDYtMWU5MC00YjVjLWFkMjUtMzAxODUwNzY4YTIx&amp;hl=en_US" TargetMode="External"/><Relationship Id="rId46" Type="http://schemas.openxmlformats.org/officeDocument/2006/relationships/hyperlink" Target="https://docs.google.com/viewer?a=v&amp;pid=explorer&amp;chrome=true&amp;srcid=0B6dKdxaNjBENMzRkNTRjOTctZGU0OS00MGVlLWFkN2MtNGU2YWNkYzBjYmI1&amp;hl=en_US" TargetMode="External"/><Relationship Id="rId45" Type="http://schemas.openxmlformats.org/officeDocument/2006/relationships/hyperlink" Target="https://docs.google.com/viewer?a=v&amp;pid=explorer&amp;chrome=true&amp;srcid=0B6dKdxaNjBENZTA4MTczMTgtOGY3MS00OGVjLTgwNzEtODlmMjkwY2RiNzFh&amp;hl=en_US" TargetMode="External"/><Relationship Id="rId48" Type="http://schemas.openxmlformats.org/officeDocument/2006/relationships/hyperlink" Target="https://docs.google.com/viewer?a=v&amp;pid=explorer&amp;chrome=true&amp;srcid=0B6dKdxaNjBENMGQ3N2QzMjgtZjkzMS00N2RlLThlY2ItMTRlMDBkOTIwZjVj&amp;hl=en_US" TargetMode="External"/><Relationship Id="rId47" Type="http://schemas.openxmlformats.org/officeDocument/2006/relationships/hyperlink" Target="https://docs.google.com/viewer?a=v&amp;pid=explorer&amp;chrome=true&amp;srcid=0B6dKdxaNjBENOTQyYmY4YTUtZmIzNy00NzJkLThlNGYtMGE5OWVkZGJhMDRl&amp;hl=en_US" TargetMode="External"/><Relationship Id="rId49" Type="http://schemas.openxmlformats.org/officeDocument/2006/relationships/hyperlink" Target="https://docs.google.com/viewer?a=v&amp;pid=explorer&amp;chrome=true&amp;srcid=0B6dKdxaNjBENYjg5ODNjMTItZjA0Ny00NDY1LTg4NWEtNjNiYWI0MzcyMTg5&amp;hl=en_US" TargetMode="External"/><Relationship Id="rId31" Type="http://schemas.openxmlformats.org/officeDocument/2006/relationships/hyperlink" Target="https://docs.google.com/viewer?a=v&amp;pid=explorer&amp;chrome=true&amp;srcid=0B6dKdxaNjBENNTIyMjM4NGUtYTJkZi00NGU0LWJmZTAtN2YxNDM4MWNmZjZh&amp;hl=en_US" TargetMode="External"/><Relationship Id="rId30" Type="http://schemas.openxmlformats.org/officeDocument/2006/relationships/hyperlink" Target="https://docs.google.com/viewer?a=v&amp;pid=explorer&amp;chrome=true&amp;srcid=0B6dKdxaNjBENNmRiMTc4OGYtYTY1Ni00MTQ4LTg5YzUtMWQyZmRmNmJmODEz&amp;hl=en_US" TargetMode="External"/><Relationship Id="rId33" Type="http://schemas.openxmlformats.org/officeDocument/2006/relationships/hyperlink" Target="https://docs.google.com/viewer?a=v&amp;pid=explorer&amp;chrome=true&amp;srcid=0B6dKdxaNjBENNDRkY2VlNmUtMmM5OC00ZmZmLWIxZGEtODAzYzgxNzI1ZDlj&amp;hl=en_US" TargetMode="External"/><Relationship Id="rId32" Type="http://schemas.openxmlformats.org/officeDocument/2006/relationships/hyperlink" Target="https://docs.google.com/viewer?a=v&amp;pid=explorer&amp;chrome=true&amp;srcid=0B6dKdxaNjBENOWE1YjRhNTctZGE0NS00ZGI1LThiMzEtYzhhNTljNjBkYmYx&amp;hl=en_US" TargetMode="External"/><Relationship Id="rId35" Type="http://schemas.openxmlformats.org/officeDocument/2006/relationships/hyperlink" Target="https://docs.google.com/viewer?a=v&amp;pid=explorer&amp;chrome=true&amp;srcid=0B6dKdxaNjBENYzZmOWJhMjYtZWU0OC00NTIzLTg2YWQtZDkyNWJlYTIwMDlk&amp;hl=en_US" TargetMode="External"/><Relationship Id="rId34" Type="http://schemas.openxmlformats.org/officeDocument/2006/relationships/hyperlink" Target="https://docs.google.com/viewer?a=v&amp;pid=explorer&amp;chrome=true&amp;srcid=0B6dKdxaNjBENYzE4Y2VhNjAtZWZkMS00NjM4LThiMzEtMzg4Yzg2OTI1ZmM2&amp;hl=en_US" TargetMode="External"/><Relationship Id="rId37" Type="http://schemas.openxmlformats.org/officeDocument/2006/relationships/hyperlink" Target="https://docs.google.com/viewer?a=v&amp;pid=explorer&amp;chrome=true&amp;srcid=0B6dKdxaNjBENMmNhYzI5NTAtNzkyZS00MjgzLTlhMDgtYmU2NjBiNWJiYzI4&amp;hl=en_US" TargetMode="External"/><Relationship Id="rId36" Type="http://schemas.openxmlformats.org/officeDocument/2006/relationships/hyperlink" Target="https://docs.google.com/viewer?a=v&amp;pid=explorer&amp;chrome=true&amp;srcid=0B6dKdxaNjBENYmRiYWI1NWEtNDFkNS00YzE0LWIwMzktYjQzMDZiYTVmZDAw&amp;hl=en_US" TargetMode="External"/><Relationship Id="rId39" Type="http://schemas.openxmlformats.org/officeDocument/2006/relationships/hyperlink" Target="https://docs.google.com/viewer?a=v&amp;pid=explorer&amp;chrome=true&amp;srcid=0B6dKdxaNjBENNTEyMjNkYWQtMWU3OC00MGRkLWFlYzMtNjAwY2FmZTY2MTM5&amp;hl=en_US" TargetMode="External"/><Relationship Id="rId38" Type="http://schemas.openxmlformats.org/officeDocument/2006/relationships/hyperlink" Target="https://docs.google.com/viewer?a=v&amp;pid=explorer&amp;chrome=true&amp;srcid=0B6dKdxaNjBENY2E0MzFkNTUtOTAwOS00ZjIxLTljOWItZWRjMWY0ZTg1OWYz&amp;hl=en_US" TargetMode="External"/><Relationship Id="rId20" Type="http://schemas.openxmlformats.org/officeDocument/2006/relationships/hyperlink" Target="https://docs.google.com/viewer?a=v&amp;pid=explorer&amp;chrome=true&amp;srcid=0B6dKdxaNjBENNWI5ZDUxN2UtMTZjOS00YWJhLWEyZjQtNmQ2ODg0MWEzYzE2&amp;hl=en_US" TargetMode="External"/><Relationship Id="rId22" Type="http://schemas.openxmlformats.org/officeDocument/2006/relationships/hyperlink" Target="https://docs.google.com/viewer?a=v&amp;pid=explorer&amp;chrome=true&amp;srcid=0B6dKdxaNjBENYWVhN2RjOTItOTBiYy00YzMxLTg5YWQtYjNjMjAwZDE1NjRm&amp;hl=en_US" TargetMode="External"/><Relationship Id="rId21" Type="http://schemas.openxmlformats.org/officeDocument/2006/relationships/hyperlink" Target="https://docs.google.com/viewer?a=v&amp;pid=explorer&amp;chrome=true&amp;srcid=0B6dKdxaNjBENMzA0ZWVjOWUtNzA0YS00ZjNhLWJhYTMtNDlhY2Q0OTExYmNj&amp;hl=en_US" TargetMode="External"/><Relationship Id="rId24" Type="http://schemas.openxmlformats.org/officeDocument/2006/relationships/hyperlink" Target="https://docs.google.com/viewer?a=v&amp;pid=explorer&amp;chrome=true&amp;srcid=0B6dKdxaNjBENOWExMmIwNmYtYTk0NC00MjlhLThjMDQtM2I0NGQzMGZlZWU4&amp;hl=en_US" TargetMode="External"/><Relationship Id="rId23" Type="http://schemas.openxmlformats.org/officeDocument/2006/relationships/hyperlink" Target="https://docs.google.com/viewer?a=v&amp;pid=explorer&amp;chrome=true&amp;srcid=0B6dKdxaNjBENZTUzZmRhNGMtMWQyOC00NGI1LWE0OTktZWI0OTM5MTIxY2U0&amp;hl=en_US" TargetMode="External"/><Relationship Id="rId26" Type="http://schemas.openxmlformats.org/officeDocument/2006/relationships/hyperlink" Target="https://docs.google.com/viewer?a=v&amp;pid=explorer&amp;chrome=true&amp;srcid=0B6dKdxaNjBENYzc2ZTcxYjYtMjdmMy00YWUyLTlhM2MtMjk4M2QzZjcxOTk1&amp;hl=en_US" TargetMode="External"/><Relationship Id="rId25" Type="http://schemas.openxmlformats.org/officeDocument/2006/relationships/hyperlink" Target="https://docs.google.com/viewer?a=v&amp;pid=explorer&amp;chrome=true&amp;srcid=0B6dKdxaNjBENNzYwYWViODYtZGM1YS00ZTQyLWFjMzgtMDQwNTE2NWEyYzJk&amp;hl=en_US" TargetMode="External"/><Relationship Id="rId28" Type="http://schemas.openxmlformats.org/officeDocument/2006/relationships/hyperlink" Target="https://docs.google.com/viewer?a=v&amp;pid=explorer&amp;chrome=true&amp;srcid=0B6dKdxaNjBENNDY3Yzk3ZGQtYWQxYi00NGVhLWIxNzYtYzIwYWQ0NThkZGEx&amp;hl=en_US" TargetMode="External"/><Relationship Id="rId27" Type="http://schemas.openxmlformats.org/officeDocument/2006/relationships/hyperlink" Target="https://docs.google.com/viewer?a=v&amp;pid=explorer&amp;chrome=true&amp;srcid=0B6dKdxaNjBENMGNhYjNjYjEtYzZmMS00NTQ3LWIwMTUtNWUzY2I0YzI1MjJk&amp;hl=en_US" TargetMode="External"/><Relationship Id="rId29" Type="http://schemas.openxmlformats.org/officeDocument/2006/relationships/hyperlink" Target="https://docs.google.com/viewer?a=v&amp;pid=explorer&amp;chrome=true&amp;srcid=0B6dKdxaNjBENODUyNWI5YzktN2MwYy00NjlmLTk2ZmEtMTU3NmIwZTA5NjE4&amp;hl=en_US" TargetMode="External"/><Relationship Id="rId11" Type="http://schemas.openxmlformats.org/officeDocument/2006/relationships/hyperlink" Target="https://docs.google.com/viewer?a=v&amp;pid=explorer&amp;chrome=true&amp;srcid=0B6dKdxaNjBENNDJjOGIwZDctMTdmNi00ZDZiLWJmMWItNmMxZjFiOTU5NmEz&amp;hl=en_US" TargetMode="External"/><Relationship Id="rId10" Type="http://schemas.openxmlformats.org/officeDocument/2006/relationships/hyperlink" Target="https://docs.google.com/viewer?a=v&amp;pid=explorer&amp;chrome=true&amp;srcid=0B6dKdxaNjBENNGI1OWVjNGQtMzg5OS00YWVkLWFmMWUtY2YzNmE1NjU4NmMy&amp;hl=en_US" TargetMode="External"/><Relationship Id="rId13" Type="http://schemas.openxmlformats.org/officeDocument/2006/relationships/hyperlink" Target="https://docs.google.com/viewer?a=v&amp;pid=explorer&amp;chrome=true&amp;srcid=0B6dKdxaNjBENZDA4YjYwODEtOTI0ZC00YzIwLTkyZGQtY2M3YTZmYTdiZjU2&amp;hl=en_US" TargetMode="External"/><Relationship Id="rId12" Type="http://schemas.openxmlformats.org/officeDocument/2006/relationships/hyperlink" Target="https://docs.google.com/viewer?a=v&amp;pid=explorer&amp;chrome=true&amp;srcid=0B6dKdxaNjBENOGQwNTVhMmQtYjJmNi00NmY2LTljOTgtZmVmODQ3MTZhNDQ2&amp;hl=en_US" TargetMode="External"/><Relationship Id="rId15" Type="http://schemas.openxmlformats.org/officeDocument/2006/relationships/hyperlink" Target="https://docs.google.com/viewer?a=v&amp;pid=explorer&amp;chrome=true&amp;srcid=0B6dKdxaNjBENNTgwOTNmMGYtZGFiYS00NmQyLWE2MzgtMGUzZWZiNTlmMjQ3&amp;hl=en_US" TargetMode="External"/><Relationship Id="rId14" Type="http://schemas.openxmlformats.org/officeDocument/2006/relationships/hyperlink" Target="http://www.sciencedirect.com/science/article/pii/S006524580800805X" TargetMode="External"/><Relationship Id="rId17" Type="http://schemas.openxmlformats.org/officeDocument/2006/relationships/hyperlink" Target="https://docs.google.com/viewer?a=v&amp;pid=explorer&amp;chrome=true&amp;srcid=0B6dKdxaNjBENMDBkNGIxZTctZGEzMy00MDA1LTk4MTMtMTI0NGZhODYyZGUw&amp;hl=en_US" TargetMode="External"/><Relationship Id="rId16" Type="http://schemas.openxmlformats.org/officeDocument/2006/relationships/hyperlink" Target="https://docs.google.com/viewer?a=v&amp;pid=explorer&amp;chrome=true&amp;srcid=0B6dKdxaNjBENZTY5YTNlN2QtOTk2Yi00ZjA3LTlmN2QtNmZiOGNkZDJhNTlk&amp;hl=en_US" TargetMode="External"/><Relationship Id="rId19" Type="http://schemas.openxmlformats.org/officeDocument/2006/relationships/hyperlink" Target="https://docs.google.com/viewer?a=v&amp;pid=explorer&amp;chrome=true&amp;srcid=0B6dKdxaNjBENYjY5MGFkZGUtM2Y3ZC00Yzk5LTk5NjQtMzYxN2MwMjUwMTE2&amp;hl=en_US" TargetMode="External"/><Relationship Id="rId18" Type="http://schemas.openxmlformats.org/officeDocument/2006/relationships/hyperlink" Target="https://docs.google.com/viewer?a=v&amp;pid=explorer&amp;chrome=true&amp;srcid=0B6dKdxaNjBENZmZmMjNmYzUtY2NjOS00MDkxLWI4MTUtZTQwYTU5ZTM0MjU4&amp;hl=en_US" TargetMode="External"/><Relationship Id="rId84" Type="http://schemas.openxmlformats.org/officeDocument/2006/relationships/hyperlink" Target="https://docs.google.com/file/d/0BzWeYCv5rkkzbEE0ZkFZWFJ1Znc/edit" TargetMode="External"/><Relationship Id="rId83" Type="http://schemas.openxmlformats.org/officeDocument/2006/relationships/hyperlink" Target="http://link.springer.com/chapter/10.1007/978-3-642-36177-7_12" TargetMode="External"/><Relationship Id="rId86" Type="http://schemas.openxmlformats.org/officeDocument/2006/relationships/hyperlink" Target="https://docs.google.com/file/d/0Bw8z7TlbmHSJdmk5R2xRQUJZOVE/edit" TargetMode="External"/><Relationship Id="rId85" Type="http://schemas.openxmlformats.org/officeDocument/2006/relationships/hyperlink" Target="https://docs.google.com/file/d/0Bw8z7TlbmHSJSnU5VkFWSVAzOFE/edit" TargetMode="External"/><Relationship Id="rId88" Type="http://schemas.openxmlformats.org/officeDocument/2006/relationships/vmlDrawing" Target="../drawings/vmlDrawing8.vml"/><Relationship Id="rId87" Type="http://schemas.openxmlformats.org/officeDocument/2006/relationships/drawing" Target="../drawings/drawing9.xml"/><Relationship Id="rId80" Type="http://schemas.openxmlformats.org/officeDocument/2006/relationships/hyperlink" Target="https://docs.google.com/file/d/0BzWeYCv5rkkzbU9kcklyVmZrRGM/edit" TargetMode="External"/><Relationship Id="rId82" Type="http://schemas.openxmlformats.org/officeDocument/2006/relationships/hyperlink" Target="https://docs.google.com/viewer?a=v&amp;pid=explorer&amp;chrome=true&amp;srcid=0B6dKdxaNjBENODE1ZWJjOWYtM2FiNS00YjAzLThhMTktYzViMzZjY2ExNzIx&amp;hl=en_US" TargetMode="External"/><Relationship Id="rId81" Type="http://schemas.openxmlformats.org/officeDocument/2006/relationships/hyperlink" Target="https://docs.google.com/viewer?a=v&amp;pid=explorer&amp;chrome=true&amp;srcid=0B6dKdxaNjBENMDA5YjEzMWEtZmZjMi00ZTUzLWI0NTgtZGRlOGM3Y2Q4ZmU2&amp;hl=en_US" TargetMode="External"/><Relationship Id="rId1" Type="http://schemas.openxmlformats.org/officeDocument/2006/relationships/comments" Target="../comments8.xml"/><Relationship Id="rId2" Type="http://schemas.openxmlformats.org/officeDocument/2006/relationships/hyperlink" Target="https://docs.google.com/viewer?a=v&amp;pid=explorer&amp;chrome=true&amp;srcid=0B6dKdxaNjBENMGRjNWY0NTItNDIwNS00NTkxLWJiOGQtNGZlNzFhNTBkYzIw&amp;hl=en_US" TargetMode="External"/><Relationship Id="rId3" Type="http://schemas.openxmlformats.org/officeDocument/2006/relationships/hyperlink" Target="https://docs.google.com/viewer?a=v&amp;pid=explorer&amp;chrome=true&amp;srcid=0B6dKdxaNjBENYWViNjg5OTQtMzU4NS00YjA5LWE4ZjItYmFlNzI4MTc3OGZj&amp;hl=en_US" TargetMode="External"/><Relationship Id="rId4" Type="http://schemas.openxmlformats.org/officeDocument/2006/relationships/hyperlink" Target="https://docs.google.com/viewer?a=v&amp;pid=explorer&amp;chrome=true&amp;srcid=0B6dKdxaNjBENMDVhODAyNmMtOWJlOC00NTcyLTllZWQtNGEzZGExMDhkZjA3&amp;hl=en_US" TargetMode="External"/><Relationship Id="rId9" Type="http://schemas.openxmlformats.org/officeDocument/2006/relationships/hyperlink" Target="https://docs.google.com/viewer?a=v&amp;pid=explorer&amp;chrome=true&amp;srcid=0B6dKdxaNjBENNDBmOTIwOTEtZTUxMS00ZDQ2LWFjZmItZGQ4NzExZDAzZTI1&amp;hl=en_US" TargetMode="External"/><Relationship Id="rId5" Type="http://schemas.openxmlformats.org/officeDocument/2006/relationships/hyperlink" Target="https://docs.google.com/viewer?a=v&amp;pid=explorer&amp;chrome=true&amp;srcid=0B6dKdxaNjBENZDA2OWZmMWEtZGNjMS00MmI0LTkzYjMtMWFkMDI1ZGYzMDU2&amp;hl=en_US" TargetMode="External"/><Relationship Id="rId6" Type="http://schemas.openxmlformats.org/officeDocument/2006/relationships/hyperlink" Target="https://docs.google.com/viewer?a=v&amp;pid=explorer&amp;chrome=true&amp;srcid=0B6dKdxaNjBENZDA2OWZmMWEtZGNjMS00MmI0LTkzYjMtMWFkMDI1ZGYzMDU2&amp;hl=en_US" TargetMode="External"/><Relationship Id="rId7" Type="http://schemas.openxmlformats.org/officeDocument/2006/relationships/hyperlink" Target="https://docs.google.com/viewer?a=v&amp;pid=explorer&amp;chrome=true&amp;srcid=0B6dKdxaNjBENMmZmYWI3Y2MtZjJkNy00N2I5LWJjN2ItZmE0OWFkMjBlOTcz&amp;hl=en_US" TargetMode="External"/><Relationship Id="rId8" Type="http://schemas.openxmlformats.org/officeDocument/2006/relationships/hyperlink" Target="https://docs.google.com/viewer?a=v&amp;pid=explorer&amp;chrome=true&amp;srcid=0B6dKdxaNjBENZGUwZThlZWYtMWQ5Mi00MzYwLWFmYTgtZjA2ZjRiMDI4MTQ4&amp;hl=en_US" TargetMode="External"/><Relationship Id="rId73" Type="http://schemas.openxmlformats.org/officeDocument/2006/relationships/hyperlink" Target="https://docs.google.com/file/d/0BzWeYCv5rkkzd0tvbkxmZlBuNFE/edit" TargetMode="External"/><Relationship Id="rId72" Type="http://schemas.openxmlformats.org/officeDocument/2006/relationships/hyperlink" Target="https://docs.google.com/file/d/0Bw8z7TlbmHSJWEJ1OFJNWGhZOTg/edit" TargetMode="External"/><Relationship Id="rId75" Type="http://schemas.openxmlformats.org/officeDocument/2006/relationships/hyperlink" Target="https://docs.google.com/file/d/0BzWeYCv5rkkzOFRfV0xqQTFyNms/edit" TargetMode="External"/><Relationship Id="rId74" Type="http://schemas.openxmlformats.org/officeDocument/2006/relationships/hyperlink" Target="https://docs.google.com/file/d/0BzWeYCv5rkkzN0pnejZXcWhIeE0/edit" TargetMode="External"/><Relationship Id="rId77" Type="http://schemas.openxmlformats.org/officeDocument/2006/relationships/hyperlink" Target="http://link.springer.com/chapter/10.1007/978-3-642-35702-2_7" TargetMode="External"/><Relationship Id="rId76" Type="http://schemas.openxmlformats.org/officeDocument/2006/relationships/hyperlink" Target="https://docs.google.com/file/d/0Bw8z7TlbmHSJSE9aZExaV2RKNHM/edit" TargetMode="External"/><Relationship Id="rId79" Type="http://schemas.openxmlformats.org/officeDocument/2006/relationships/hyperlink" Target="https://docs.google.com/file/d/0Bw8z7TlbmHSJOVZqNGlPa1ZVQXM/edit" TargetMode="External"/><Relationship Id="rId78" Type="http://schemas.openxmlformats.org/officeDocument/2006/relationships/hyperlink" Target="https://docs.google.com/file/d/0Bw8z7TlbmHSJektIYWk2ekE0T1E/edit" TargetMode="External"/><Relationship Id="rId71" Type="http://schemas.openxmlformats.org/officeDocument/2006/relationships/hyperlink" Target="https://docs.google.com/file/d/0Bw8z7TlbmHSJTkpmTjR6cS1sckE/edit" TargetMode="External"/><Relationship Id="rId70" Type="http://schemas.openxmlformats.org/officeDocument/2006/relationships/hyperlink" Target="https://docs.google.com/file/d/0Bw8z7TlbmHSJSjRPUnJId0NveWM/edit" TargetMode="External"/><Relationship Id="rId62" Type="http://schemas.openxmlformats.org/officeDocument/2006/relationships/hyperlink" Target="https://docs.google.com/file/d/0BzWeYCv5rkkzVlRKT3BKTWptMGs/edit" TargetMode="External"/><Relationship Id="rId61" Type="http://schemas.openxmlformats.org/officeDocument/2006/relationships/hyperlink" Target="https://docs.google.com/file/d/0Bw8z7TlbmHSJRHdFc3lqM2NnTDA/edit" TargetMode="External"/><Relationship Id="rId64" Type="http://schemas.openxmlformats.org/officeDocument/2006/relationships/hyperlink" Target="https://docs.google.com/file/d/0BzWeYCv5rkkzZ3d6bkk5VFREalk/edit" TargetMode="External"/><Relationship Id="rId63" Type="http://schemas.openxmlformats.org/officeDocument/2006/relationships/hyperlink" Target="https://docs.google.com/file/d/0BzWeYCv5rkkzSDJENEJ0NEVmY1E/edit" TargetMode="External"/><Relationship Id="rId66" Type="http://schemas.openxmlformats.org/officeDocument/2006/relationships/hyperlink" Target="https://docs.google.com/file/d/0BzWeYCv5rkkzTV9WbVQ0MWhOMzg/edit" TargetMode="External"/><Relationship Id="rId65" Type="http://schemas.openxmlformats.org/officeDocument/2006/relationships/hyperlink" Target="https://docs.google.com/file/d/0BzWeYCv5rkkzYW5NaWFoSFRnTzg/edit" TargetMode="External"/><Relationship Id="rId68" Type="http://schemas.openxmlformats.org/officeDocument/2006/relationships/hyperlink" Target="https://docs.google.com/file/d/0BzWeYCv5rkkzOFJRU2RWVzF2OGc/edit" TargetMode="External"/><Relationship Id="rId67" Type="http://schemas.openxmlformats.org/officeDocument/2006/relationships/hyperlink" Target="https://docs.google.com/file/d/0BzWeYCv5rkkzXzg4ZDZqRXp5RzA/edit" TargetMode="External"/><Relationship Id="rId60" Type="http://schemas.openxmlformats.org/officeDocument/2006/relationships/hyperlink" Target="https://docs.google.com/file/d/0B6dKdxaNjBENcFE3QU42cUpxc2s/edit" TargetMode="External"/><Relationship Id="rId69" Type="http://schemas.openxmlformats.org/officeDocument/2006/relationships/hyperlink" Target="https://docs.google.com/file/d/0BzWeYCv5rkkzV1N0WHctRXZOM0E/edit" TargetMode="External"/><Relationship Id="rId51" Type="http://schemas.openxmlformats.org/officeDocument/2006/relationships/hyperlink" Target="https://docs.google.com/viewer?a=v&amp;pid=explorer&amp;chrome=true&amp;srcid=0B6dKdxaNjBENYmExZDAzMDAtMzE3MC00ZWZmLTliZGItYjQ2NTUzZjEzNjg0&amp;hl=en_US" TargetMode="External"/><Relationship Id="rId50" Type="http://schemas.openxmlformats.org/officeDocument/2006/relationships/hyperlink" Target="https://docs.google.com/viewer?a=v&amp;pid=explorer&amp;chrome=true&amp;srcid=0B6dKdxaNjBENYTdiYTUwMGEtYzNhMy00M2UwLWIwY2UtYTc2ZDFmNzkzYTQ3&amp;hl=en_US" TargetMode="External"/><Relationship Id="rId53" Type="http://schemas.openxmlformats.org/officeDocument/2006/relationships/hyperlink" Target="https://docs.google.com/viewer?a=v&amp;pid=explorer&amp;chrome=true&amp;srcid=0B6dKdxaNjBENMmMyODBjOWYtNjM0NC00MTExLWFjMTItNTA3MzRhNTUyYzQx&amp;hl=en_US" TargetMode="External"/><Relationship Id="rId52" Type="http://schemas.openxmlformats.org/officeDocument/2006/relationships/hyperlink" Target="https://docs.google.com/viewer?a=v&amp;pid=explorer&amp;chrome=true&amp;srcid=0B6dKdxaNjBENNTdjYWViOGMtY2E4My00MzY0LWFlYmUtNTk1ODA1ZDEyNWY2&amp;hl=en_US" TargetMode="External"/><Relationship Id="rId55" Type="http://schemas.openxmlformats.org/officeDocument/2006/relationships/hyperlink" Target="https://docs.google.com/viewer?a=v&amp;pid=explorer&amp;chrome=true&amp;srcid=0B6dKdxaNjBENMTdjNzk5MjYtNWQzMy00OGIwLWFhMTQtZGJjM2MxNjBkYmRi&amp;hl=en_US" TargetMode="External"/><Relationship Id="rId54" Type="http://schemas.openxmlformats.org/officeDocument/2006/relationships/hyperlink" Target="https://docs.google.com/viewer?a=v&amp;pid=explorer&amp;chrome=true&amp;srcid=0B6dKdxaNjBENZmQ3ZjFlYjktYzgxYy00MjQ3LWJlYmEtMjM4OTcxNTZmOTBj&amp;hl=en_US" TargetMode="External"/><Relationship Id="rId57" Type="http://schemas.openxmlformats.org/officeDocument/2006/relationships/hyperlink" Target="https://docs.google.com/file/d/0Bw8z7TlbmHSJMzV6M2Z5ajV6SlE/edit" TargetMode="External"/><Relationship Id="rId56" Type="http://schemas.openxmlformats.org/officeDocument/2006/relationships/hyperlink" Target="https://docs.google.com/viewer?a=v&amp;pid=explorer&amp;chrome=true&amp;srcid=0B6dKdxaNjBENODBmYmQwMmQtMDQyOS00YjMxLWExOGUtNTkxNjE4MjEwOGI2&amp;hl=en_US" TargetMode="External"/><Relationship Id="rId59" Type="http://schemas.openxmlformats.org/officeDocument/2006/relationships/hyperlink" Target="https://docs.google.com/file/d/0Bw8z7TlbmHSJLWRObXd3NVRCN2c/edit" TargetMode="External"/><Relationship Id="rId58" Type="http://schemas.openxmlformats.org/officeDocument/2006/relationships/hyperlink" Target="https://docs.google.com/file/d/0B6dKdxaNjBENQTdERDVybXRWeHM/edi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ySplit="2.0" topLeftCell="F3" activePane="bottomRight" state="frozen"/>
      <selection activeCell="F1" sqref="F1" pane="topRight"/>
      <selection activeCell="A3" sqref="A3" pane="bottomLeft"/>
      <selection activeCell="F3" sqref="F3" pane="bottomRight"/>
    </sheetView>
  </sheetViews>
  <sheetFormatPr customHeight="1" defaultColWidth="12.63" defaultRowHeight="12.75"/>
  <cols>
    <col customWidth="1" min="1" max="1" width="4.38"/>
    <col customWidth="1" min="2" max="2" width="28.88"/>
    <col customWidth="1" min="3" max="3" width="8.75"/>
    <col customWidth="1" min="4" max="4" width="10.5"/>
    <col customWidth="1" min="5" max="5" width="13.88"/>
    <col customWidth="1" min="6" max="6" width="7.75"/>
    <col customWidth="1" min="8" max="8" width="14.13"/>
    <col customWidth="1" min="9" max="9" width="7.38"/>
    <col customWidth="1" min="10" max="10" width="16.25"/>
    <col customWidth="1" min="11" max="11" width="5.25"/>
    <col customWidth="1" min="12" max="12" width="20.38"/>
    <col customWidth="1" min="13" max="16" width="5.25"/>
    <col customWidth="1" min="17" max="17" width="9.38"/>
    <col customWidth="1" min="18" max="18" width="5.75"/>
    <col customWidth="1" min="19" max="19" width="8.5"/>
    <col customWidth="1" min="20" max="20" width="8.38"/>
    <col customWidth="1" min="21" max="21" width="7.75"/>
    <col customWidth="1" min="22" max="22" width="6.25"/>
    <col customWidth="1" min="23" max="23" width="8.38"/>
    <col customWidth="1" min="24" max="24" width="8.63"/>
    <col customWidth="1" min="25" max="25" width="9.88"/>
    <col customWidth="1" min="26" max="26" width="39.13"/>
    <col customWidth="1" min="27" max="28" width="15.5"/>
    <col customWidth="1" min="29" max="29" width="42.5"/>
    <col customWidth="1" min="30" max="30" width="15.13"/>
    <col customWidth="1" min="31" max="31" width="8.0"/>
    <col customWidth="1" min="32" max="32" width="5.63"/>
    <col customWidth="1" min="33" max="33" width="8.25"/>
    <col customWidth="1" min="34" max="34" width="15.13"/>
    <col customWidth="1" min="35" max="35" width="8.63"/>
    <col customWidth="1" min="36" max="36" width="10.13"/>
    <col customWidth="1" min="37" max="37" width="7.63"/>
    <col customWidth="1" hidden="1" min="38" max="42" width="6.88"/>
    <col customWidth="1" min="43" max="43" width="15.13"/>
    <col customWidth="1" min="44" max="44" width="6.75"/>
    <col customWidth="1" min="45" max="45" width="13.13"/>
    <col customWidth="1" min="46" max="46" width="8.5"/>
    <col customWidth="1" min="47" max="47" width="10.13"/>
    <col customWidth="1" min="48" max="49" width="12.25"/>
    <col customWidth="1" min="50" max="50" width="12.13"/>
    <col customWidth="1" min="51" max="51" width="10.38"/>
    <col customWidth="1" min="52" max="53" width="8.5"/>
    <col customWidth="1" min="54" max="54" width="6.75"/>
    <col customWidth="1" min="55" max="55" width="10.38"/>
    <col customWidth="1" min="56" max="58" width="7.0"/>
    <col customWidth="1" min="59" max="59" width="6.63"/>
    <col customWidth="1" min="60" max="60" width="7.0"/>
    <col customWidth="1" min="61" max="63" width="10.13"/>
    <col customWidth="1" min="64" max="64" width="7.88"/>
    <col customWidth="1" min="65" max="65" width="21.13"/>
    <col customWidth="1" min="66" max="66" width="15.13"/>
    <col customWidth="1" min="67" max="69" width="8.5"/>
    <col customWidth="1" min="70" max="70" width="10.5"/>
    <col customWidth="1" min="71" max="71" width="11.63"/>
    <col customWidth="1" min="72" max="72" width="6.88"/>
    <col customWidth="1" min="73" max="73" width="11.5"/>
    <col customWidth="1" min="74" max="76" width="11.38"/>
    <col customWidth="1" min="77" max="77" width="12.75"/>
    <col customWidth="1" min="78" max="78" width="15.13"/>
    <col customWidth="1" min="79" max="79" width="10.5"/>
    <col customWidth="1" min="80" max="80" width="9.13"/>
    <col customWidth="1" min="81" max="82" width="10.5"/>
    <col customWidth="1" min="83" max="84" width="10.63"/>
    <col customWidth="1" min="85" max="86" width="7.5"/>
    <col customWidth="1" min="87" max="87" width="8.25"/>
    <col customWidth="1" hidden="1" min="88" max="88" width="7.63"/>
    <col customWidth="1" min="89" max="91" width="8.25"/>
    <col customWidth="1" min="92" max="92" width="13.75"/>
    <col customWidth="1" min="93" max="93" width="14.13"/>
    <col customWidth="1" min="94" max="94" width="12.88"/>
    <col customWidth="1" min="95" max="96" width="9.0"/>
    <col customWidth="1" min="97" max="97" width="10.5"/>
    <col customWidth="1" min="98" max="98" width="9.13"/>
    <col customWidth="1" min="99" max="99" width="5.25"/>
    <col customWidth="1" min="100" max="100" width="8.75"/>
    <col customWidth="1" min="101" max="101" width="9.25"/>
    <col customWidth="1" min="102" max="102" width="10.5"/>
    <col customWidth="1" min="103" max="103" width="15.13"/>
    <col customWidth="1" min="104" max="104" width="7.38"/>
    <col customWidth="1" min="105" max="106" width="8.13"/>
    <col customWidth="1" min="107" max="107" width="10.75"/>
    <col customWidth="1" min="108" max="108" width="9.63"/>
    <col customWidth="1" min="109" max="109" width="15.13"/>
    <col customWidth="1" min="110" max="110" width="9.63"/>
    <col customWidth="1" min="111" max="111" width="15.13"/>
    <col customWidth="1" min="112" max="112" width="11.63"/>
    <col customWidth="1" min="113" max="113" width="14.13"/>
    <col customWidth="1" min="114" max="114" width="10.88"/>
    <col customWidth="1" min="115" max="115" width="10.0"/>
    <col customWidth="1" min="116" max="116" width="7.88"/>
    <col customWidth="1" hidden="1" min="117" max="117" width="15.13"/>
    <col customWidth="1" min="118" max="122" width="10.5"/>
    <col customWidth="1" min="123" max="124" width="10.25"/>
    <col customWidth="1" min="125" max="125" width="8.13"/>
    <col customWidth="1" min="126" max="128" width="10.25"/>
    <col customWidth="1" min="129" max="129" width="7.5"/>
    <col customWidth="1" min="130" max="130" width="9.75"/>
    <col customWidth="1" min="131" max="132" width="10.25"/>
    <col customWidth="1" min="133" max="133" width="9.88"/>
    <col customWidth="1" min="134" max="134" width="10.25"/>
    <col customWidth="1" min="135" max="135" width="10.75"/>
    <col customWidth="1" min="136" max="137" width="9.13"/>
    <col customWidth="1" min="138" max="138" width="15.13"/>
    <col customWidth="1" min="139" max="139" width="43.13"/>
    <col customWidth="1" min="140" max="142" width="10.25"/>
    <col customWidth="1" min="143" max="143" width="15.13"/>
    <col customWidth="1" hidden="1" min="144" max="144" width="15.13"/>
    <col customWidth="1" hidden="1" min="145" max="145" width="10.5"/>
    <col customWidth="1" hidden="1" min="146" max="146" width="7.75"/>
    <col customWidth="1" hidden="1" min="147" max="147" width="10.75"/>
    <col customWidth="1" hidden="1" min="148" max="148" width="7.25"/>
    <col customWidth="1" min="149" max="149" width="55.0"/>
    <col customWidth="1" min="150" max="150" width="8.88"/>
    <col customWidth="1" hidden="1" min="151" max="155" width="15.13"/>
    <col customWidth="1" min="156" max="156" width="48.0"/>
    <col customWidth="1" min="157" max="160" width="18.0"/>
    <col customWidth="1" min="161" max="161" width="7.13"/>
    <col customWidth="1" min="162" max="164" width="9.5"/>
    <col customWidth="1" min="165" max="165" width="7.0"/>
    <col customWidth="1" min="166" max="169" width="7.13"/>
    <col customWidth="1" min="170" max="170" width="6.5"/>
    <col customWidth="1" min="171" max="178" width="15.13"/>
    <col customWidth="1" min="179" max="180" width="5.75"/>
    <col customWidth="1" min="181" max="181" width="9.5"/>
    <col customWidth="1" min="182" max="182" width="5.0"/>
    <col customWidth="1" min="183" max="183" width="7.75"/>
    <col customWidth="1" min="184" max="184" width="7.5"/>
    <col customWidth="1" min="185" max="185" width="7.0"/>
    <col customWidth="1" min="186" max="186" width="13.5"/>
    <col customWidth="1" min="187" max="190" width="7.0"/>
    <col customWidth="1" min="191" max="191" width="4.5"/>
    <col customWidth="1" min="192" max="192" width="9.13"/>
    <col customWidth="1" min="193" max="193" width="5.13"/>
    <col customWidth="1" min="194" max="195" width="15.13"/>
    <col customWidth="1" min="196" max="196" width="10.38"/>
    <col customWidth="1" min="197" max="197" width="27.75"/>
    <col customWidth="1" min="198" max="200" width="15.13"/>
    <col customWidth="1" min="201" max="201" width="12.5"/>
    <col customWidth="1" min="202" max="202" width="9.13"/>
    <col customWidth="1" hidden="1" min="203" max="213" width="9.25"/>
    <col customWidth="1" hidden="1" min="214" max="224" width="8.38"/>
    <col customWidth="1" hidden="1" min="225" max="234" width="6.75"/>
    <col customWidth="1" min="235" max="250" width="15.13"/>
  </cols>
  <sheetData>
    <row r="1" ht="1.5" customHeight="1">
      <c r="A1" s="1"/>
      <c r="B1" s="2"/>
      <c r="C1" s="3"/>
      <c r="D1" s="4"/>
      <c r="E1" s="5" t="s">
        <v>0</v>
      </c>
      <c r="F1" s="6"/>
      <c r="G1" s="7"/>
      <c r="H1" s="8"/>
      <c r="I1" s="9">
        <f>countif(E52:I52, "")</f>
        <v>1</v>
      </c>
      <c r="J1" s="10"/>
      <c r="K1" s="11"/>
      <c r="L1" s="11"/>
      <c r="M1" s="11"/>
      <c r="N1" s="11"/>
      <c r="O1" s="11"/>
      <c r="P1" s="11"/>
      <c r="Q1" s="12" t="s">
        <v>1</v>
      </c>
      <c r="Z1" s="10"/>
      <c r="AA1" s="13" t="str">
        <f t="shared" ref="AA1:AA2" si="1">iferror(if(find("Pollock", AC1)&gt;0,concat(J1,", "), ""))</f>
        <v/>
      </c>
      <c r="AB1" s="10"/>
      <c r="AC1" s="14" t="s">
        <v>2</v>
      </c>
      <c r="AD1" s="15"/>
      <c r="AE1" s="15"/>
      <c r="AF1" s="15"/>
      <c r="AG1" s="15"/>
      <c r="AH1" s="15"/>
      <c r="AI1" s="8"/>
      <c r="AJ1" s="16"/>
      <c r="AK1" s="17"/>
      <c r="AL1" s="16"/>
      <c r="AM1" s="16"/>
      <c r="AN1" s="16"/>
      <c r="AO1" s="16"/>
      <c r="AP1" s="16"/>
      <c r="AQ1" s="13" t="str">
        <f t="shared" ref="AQ1:AQ2" si="2">iferror(if(find("Pollock", BC1)&gt;0,concat(U1,", "), ""))</f>
        <v/>
      </c>
      <c r="AR1" s="18" t="s">
        <v>3</v>
      </c>
      <c r="BC1" s="19" t="s">
        <v>4</v>
      </c>
      <c r="BJ1" s="20" t="s">
        <v>5</v>
      </c>
      <c r="BK1" s="21"/>
      <c r="BL1" s="21"/>
      <c r="BM1" s="21"/>
      <c r="BN1" s="22" t="s">
        <v>6</v>
      </c>
      <c r="BO1" s="23" t="s">
        <v>7</v>
      </c>
      <c r="BV1" s="24" t="s">
        <v>8</v>
      </c>
      <c r="BY1" s="25" t="s">
        <v>9</v>
      </c>
      <c r="CF1" s="16"/>
      <c r="CG1" s="18" t="s">
        <v>10</v>
      </c>
      <c r="CJ1" s="16"/>
      <c r="CK1" s="26" t="s">
        <v>11</v>
      </c>
      <c r="CN1" s="12" t="s">
        <v>12</v>
      </c>
      <c r="CV1" s="27" t="s">
        <v>13</v>
      </c>
      <c r="DH1" s="28" t="s">
        <v>14</v>
      </c>
      <c r="DN1" s="29" t="s">
        <v>15</v>
      </c>
      <c r="DS1" s="30" t="s">
        <v>16</v>
      </c>
      <c r="DT1" s="31"/>
      <c r="DU1" s="31"/>
      <c r="DV1" s="31"/>
      <c r="DW1" s="31"/>
      <c r="DX1" s="31"/>
      <c r="DY1" s="31"/>
      <c r="DZ1" s="31"/>
      <c r="EA1" s="20" t="s">
        <v>17</v>
      </c>
      <c r="EF1" s="32"/>
      <c r="EG1" s="10"/>
      <c r="EH1" s="33" t="s">
        <v>18</v>
      </c>
      <c r="EI1" s="34" t="s">
        <v>19</v>
      </c>
      <c r="EJ1" s="35"/>
      <c r="EK1" s="35"/>
      <c r="EL1" s="35"/>
      <c r="EM1" s="36" t="s">
        <v>20</v>
      </c>
      <c r="EN1" s="37" t="s">
        <v>21</v>
      </c>
      <c r="ES1" s="5" t="s">
        <v>22</v>
      </c>
      <c r="ET1" s="38"/>
      <c r="EU1" s="5" t="s">
        <v>23</v>
      </c>
      <c r="EV1" s="38"/>
      <c r="EW1" s="38"/>
      <c r="EX1" s="38"/>
      <c r="EY1" s="38"/>
      <c r="EZ1" s="38"/>
      <c r="FA1" s="20" t="s">
        <v>24</v>
      </c>
      <c r="FB1" s="21"/>
      <c r="FC1" s="21"/>
      <c r="FD1" s="21"/>
      <c r="FE1" s="16"/>
      <c r="FF1" s="5" t="s">
        <v>25</v>
      </c>
      <c r="FJ1" s="5" t="s">
        <v>26</v>
      </c>
      <c r="FO1" s="39" t="s">
        <v>27</v>
      </c>
      <c r="FQ1" s="10"/>
      <c r="FR1" s="40" t="s">
        <v>28</v>
      </c>
      <c r="FT1" s="10"/>
      <c r="FU1" s="10"/>
      <c r="FV1" s="22" t="s">
        <v>29</v>
      </c>
      <c r="FW1" s="19" t="s">
        <v>30</v>
      </c>
      <c r="GC1" s="41" t="s">
        <v>31</v>
      </c>
      <c r="GL1" s="24" t="s">
        <v>32</v>
      </c>
      <c r="GN1" s="42" t="s">
        <v>33</v>
      </c>
      <c r="GU1" s="43" t="s">
        <v>34</v>
      </c>
      <c r="GV1" s="21"/>
      <c r="GW1" s="21"/>
      <c r="GX1" s="21"/>
      <c r="GY1" s="21"/>
      <c r="GZ1" s="21"/>
      <c r="HA1" s="21"/>
      <c r="HB1" s="21"/>
      <c r="HC1" s="21"/>
      <c r="HD1" s="21"/>
      <c r="HE1" s="44"/>
      <c r="HF1" s="45" t="s">
        <v>35</v>
      </c>
      <c r="HG1" s="31"/>
      <c r="HH1" s="31"/>
      <c r="HI1" s="31"/>
      <c r="HJ1" s="31"/>
      <c r="HK1" s="31"/>
      <c r="HL1" s="31"/>
      <c r="HM1" s="31"/>
      <c r="HN1" s="31"/>
      <c r="HO1" s="31"/>
      <c r="HP1" s="46"/>
      <c r="HQ1" s="47" t="s">
        <v>36</v>
      </c>
      <c r="HR1" s="48"/>
      <c r="HS1" s="48"/>
      <c r="HT1" s="48"/>
      <c r="HU1" s="48"/>
      <c r="HV1" s="48"/>
      <c r="HW1" s="48"/>
      <c r="HX1" s="48"/>
      <c r="HY1" s="48"/>
      <c r="HZ1" s="48"/>
    </row>
    <row r="2" ht="1.5" customHeight="1">
      <c r="A2" s="49" t="s">
        <v>37</v>
      </c>
      <c r="B2" s="34" t="s">
        <v>38</v>
      </c>
      <c r="C2" s="50" t="s">
        <v>39</v>
      </c>
      <c r="D2" s="51" t="s">
        <v>40</v>
      </c>
      <c r="E2" s="52" t="s">
        <v>41</v>
      </c>
      <c r="F2" s="53" t="s">
        <v>42</v>
      </c>
      <c r="G2" s="54" t="s">
        <v>43</v>
      </c>
      <c r="H2" s="55" t="s">
        <v>44</v>
      </c>
      <c r="I2" s="56" t="s">
        <v>45</v>
      </c>
      <c r="J2" s="57" t="s">
        <v>46</v>
      </c>
      <c r="K2" s="58" t="s">
        <v>47</v>
      </c>
      <c r="L2" s="58" t="s">
        <v>48</v>
      </c>
      <c r="M2" s="58" t="s">
        <v>49</v>
      </c>
      <c r="N2" s="58" t="s">
        <v>50</v>
      </c>
      <c r="O2" s="58" t="s">
        <v>51</v>
      </c>
      <c r="P2" s="58" t="s">
        <v>52</v>
      </c>
      <c r="Q2" s="59" t="s">
        <v>53</v>
      </c>
      <c r="R2" s="60" t="s">
        <v>54</v>
      </c>
      <c r="S2" s="60" t="s">
        <v>55</v>
      </c>
      <c r="T2" s="60" t="s">
        <v>56</v>
      </c>
      <c r="U2" s="60" t="s">
        <v>57</v>
      </c>
      <c r="V2" s="60" t="s">
        <v>58</v>
      </c>
      <c r="W2" s="60" t="s">
        <v>59</v>
      </c>
      <c r="X2" s="60" t="s">
        <v>60</v>
      </c>
      <c r="Y2" s="60" t="s">
        <v>61</v>
      </c>
      <c r="Z2" s="57" t="s">
        <v>62</v>
      </c>
      <c r="AA2" s="61" t="str">
        <f t="shared" si="1"/>
        <v/>
      </c>
      <c r="AC2" s="62" t="s">
        <v>63</v>
      </c>
      <c r="AD2" s="62" t="s">
        <v>64</v>
      </c>
      <c r="AE2" s="55" t="s">
        <v>65</v>
      </c>
      <c r="AF2" s="55" t="s">
        <v>66</v>
      </c>
      <c r="AG2" s="55" t="s">
        <v>67</v>
      </c>
      <c r="AH2" s="55" t="s">
        <v>66</v>
      </c>
      <c r="AI2" s="55" t="s">
        <v>68</v>
      </c>
      <c r="AJ2" s="55" t="s">
        <v>69</v>
      </c>
      <c r="AK2" s="63" t="s">
        <v>70</v>
      </c>
      <c r="AL2" s="55" t="s">
        <v>71</v>
      </c>
      <c r="AM2" s="55" t="s">
        <v>72</v>
      </c>
      <c r="AN2" s="55" t="s">
        <v>73</v>
      </c>
      <c r="AO2" s="55" t="s">
        <v>74</v>
      </c>
      <c r="AP2" s="55" t="s">
        <v>75</v>
      </c>
      <c r="AQ2" s="61" t="str">
        <f t="shared" si="2"/>
        <v/>
      </c>
      <c r="AR2" s="64" t="s">
        <v>76</v>
      </c>
      <c r="AS2" s="64" t="s">
        <v>77</v>
      </c>
      <c r="AT2" s="64" t="s">
        <v>78</v>
      </c>
      <c r="AU2" s="64" t="s">
        <v>79</v>
      </c>
      <c r="AV2" s="64" t="s">
        <v>80</v>
      </c>
      <c r="AW2" s="64" t="s">
        <v>81</v>
      </c>
      <c r="AX2" s="64" t="s">
        <v>82</v>
      </c>
      <c r="AY2" s="64" t="s">
        <v>83</v>
      </c>
      <c r="AZ2" s="64" t="s">
        <v>84</v>
      </c>
      <c r="BA2" s="64" t="s">
        <v>85</v>
      </c>
      <c r="BB2" s="64" t="s">
        <v>86</v>
      </c>
      <c r="BC2" s="65" t="s">
        <v>87</v>
      </c>
      <c r="BD2" s="65" t="s">
        <v>88</v>
      </c>
      <c r="BE2" s="65" t="s">
        <v>89</v>
      </c>
      <c r="BF2" s="66" t="s">
        <v>90</v>
      </c>
      <c r="BG2" s="66" t="s">
        <v>91</v>
      </c>
      <c r="BH2" s="67" t="s">
        <v>85</v>
      </c>
      <c r="BI2" s="67" t="s">
        <v>92</v>
      </c>
      <c r="BJ2" s="68" t="s">
        <v>93</v>
      </c>
      <c r="BK2" s="68" t="s">
        <v>94</v>
      </c>
      <c r="BL2" s="68" t="s">
        <v>95</v>
      </c>
      <c r="BM2" s="68" t="s">
        <v>85</v>
      </c>
      <c r="BN2" s="69"/>
      <c r="BO2" s="70" t="s">
        <v>96</v>
      </c>
      <c r="BP2" s="70" t="s">
        <v>97</v>
      </c>
      <c r="BQ2" s="70" t="s">
        <v>98</v>
      </c>
      <c r="BR2" s="70" t="s">
        <v>99</v>
      </c>
      <c r="BS2" s="70" t="s">
        <v>100</v>
      </c>
      <c r="BT2" s="70" t="s">
        <v>101</v>
      </c>
      <c r="BU2" s="70" t="s">
        <v>85</v>
      </c>
      <c r="BV2" s="71" t="s">
        <v>102</v>
      </c>
      <c r="BW2" s="71" t="s">
        <v>103</v>
      </c>
      <c r="BX2" s="71" t="s">
        <v>104</v>
      </c>
      <c r="BY2" s="72" t="s">
        <v>105</v>
      </c>
      <c r="BZ2" s="72" t="s">
        <v>106</v>
      </c>
      <c r="CA2" s="72" t="s">
        <v>107</v>
      </c>
      <c r="CB2" s="72" t="s">
        <v>108</v>
      </c>
      <c r="CC2" s="72" t="s">
        <v>109</v>
      </c>
      <c r="CD2" s="72" t="s">
        <v>110</v>
      </c>
      <c r="CE2" s="72" t="s">
        <v>85</v>
      </c>
      <c r="CF2" s="73" t="s">
        <v>111</v>
      </c>
      <c r="CG2" s="64" t="s">
        <v>112</v>
      </c>
      <c r="CH2" s="64" t="s">
        <v>113</v>
      </c>
      <c r="CI2" s="64" t="s">
        <v>114</v>
      </c>
      <c r="CJ2" s="74"/>
      <c r="CK2" s="75" t="s">
        <v>115</v>
      </c>
      <c r="CL2" s="75" t="s">
        <v>116</v>
      </c>
      <c r="CM2" s="75" t="s">
        <v>117</v>
      </c>
      <c r="CN2" s="76" t="s">
        <v>118</v>
      </c>
      <c r="CO2" s="76" t="s">
        <v>119</v>
      </c>
      <c r="CP2" s="76" t="s">
        <v>120</v>
      </c>
      <c r="CQ2" s="76" t="s">
        <v>121</v>
      </c>
      <c r="CR2" s="60" t="s">
        <v>122</v>
      </c>
      <c r="CS2" s="60" t="s">
        <v>123</v>
      </c>
      <c r="CT2" s="60" t="s">
        <v>124</v>
      </c>
      <c r="CU2" s="60" t="s">
        <v>85</v>
      </c>
      <c r="CV2" s="77" t="s">
        <v>125</v>
      </c>
      <c r="CW2" s="77" t="s">
        <v>126</v>
      </c>
      <c r="CX2" s="78" t="s">
        <v>127</v>
      </c>
      <c r="CY2" s="78" t="s">
        <v>128</v>
      </c>
      <c r="CZ2" s="77" t="s">
        <v>129</v>
      </c>
      <c r="DA2" s="77" t="s">
        <v>130</v>
      </c>
      <c r="DB2" s="77" t="s">
        <v>131</v>
      </c>
      <c r="DC2" s="77" t="s">
        <v>132</v>
      </c>
      <c r="DD2" s="77" t="s">
        <v>133</v>
      </c>
      <c r="DE2" s="77" t="s">
        <v>134</v>
      </c>
      <c r="DF2" s="77" t="s">
        <v>85</v>
      </c>
      <c r="DG2" s="77" t="s">
        <v>92</v>
      </c>
      <c r="DH2" s="56" t="s">
        <v>135</v>
      </c>
      <c r="DI2" s="56" t="s">
        <v>136</v>
      </c>
      <c r="DJ2" s="56" t="s">
        <v>137</v>
      </c>
      <c r="DK2" s="56" t="s">
        <v>138</v>
      </c>
      <c r="DL2" s="56" t="s">
        <v>85</v>
      </c>
      <c r="DM2" s="56" t="s">
        <v>92</v>
      </c>
      <c r="DN2" s="57" t="s">
        <v>139</v>
      </c>
      <c r="DO2" s="57" t="s">
        <v>140</v>
      </c>
      <c r="DP2" s="57" t="s">
        <v>141</v>
      </c>
      <c r="DQ2" s="57" t="s">
        <v>142</v>
      </c>
      <c r="DR2" s="57" t="s">
        <v>143</v>
      </c>
      <c r="DS2" s="30" t="s">
        <v>144</v>
      </c>
      <c r="DT2" s="30" t="s">
        <v>145</v>
      </c>
      <c r="DU2" s="30" t="s">
        <v>146</v>
      </c>
      <c r="DV2" s="30" t="s">
        <v>147</v>
      </c>
      <c r="DW2" s="30" t="s">
        <v>148</v>
      </c>
      <c r="DX2" s="30" t="s">
        <v>85</v>
      </c>
      <c r="DY2" s="30" t="s">
        <v>149</v>
      </c>
      <c r="DZ2" s="30" t="s">
        <v>150</v>
      </c>
      <c r="EA2" s="20" t="s">
        <v>151</v>
      </c>
      <c r="EB2" s="20" t="s">
        <v>152</v>
      </c>
      <c r="EC2" s="20" t="s">
        <v>153</v>
      </c>
      <c r="ED2" s="20" t="s">
        <v>85</v>
      </c>
      <c r="EE2" s="20" t="s">
        <v>154</v>
      </c>
      <c r="EF2" s="79" t="s">
        <v>155</v>
      </c>
      <c r="EG2" s="80" t="s">
        <v>156</v>
      </c>
      <c r="EI2" s="50" t="s">
        <v>157</v>
      </c>
      <c r="EJ2" s="81" t="s">
        <v>158</v>
      </c>
      <c r="EK2" s="81" t="s">
        <v>159</v>
      </c>
      <c r="EL2" s="82"/>
      <c r="EN2" s="83" t="s">
        <v>160</v>
      </c>
      <c r="EO2" s="83" t="s">
        <v>161</v>
      </c>
      <c r="EP2" s="83" t="s">
        <v>162</v>
      </c>
      <c r="EQ2" s="83" t="s">
        <v>163</v>
      </c>
      <c r="ER2" s="83" t="s">
        <v>85</v>
      </c>
      <c r="ES2" s="47" t="s">
        <v>164</v>
      </c>
      <c r="ET2" s="52" t="s">
        <v>165</v>
      </c>
      <c r="EU2" s="52" t="s">
        <v>166</v>
      </c>
      <c r="EV2" s="52" t="s">
        <v>167</v>
      </c>
      <c r="EW2" s="52" t="s">
        <v>168</v>
      </c>
      <c r="EX2" s="84"/>
      <c r="EY2" s="47" t="s">
        <v>85</v>
      </c>
      <c r="EZ2" s="47" t="s">
        <v>169</v>
      </c>
      <c r="FA2" s="68" t="s">
        <v>170</v>
      </c>
      <c r="FB2" s="68" t="s">
        <v>171</v>
      </c>
      <c r="FC2" s="68" t="s">
        <v>172</v>
      </c>
      <c r="FD2" s="68" t="s">
        <v>173</v>
      </c>
      <c r="FF2" s="47" t="s">
        <v>174</v>
      </c>
      <c r="FG2" s="47" t="s">
        <v>175</v>
      </c>
      <c r="FH2" s="47" t="s">
        <v>176</v>
      </c>
      <c r="FI2" s="47" t="s">
        <v>177</v>
      </c>
      <c r="FJ2" s="47" t="s">
        <v>178</v>
      </c>
      <c r="FK2" s="47" t="s">
        <v>179</v>
      </c>
      <c r="FL2" s="47" t="s">
        <v>180</v>
      </c>
      <c r="FM2" s="47" t="s">
        <v>181</v>
      </c>
      <c r="FN2" s="47" t="s">
        <v>177</v>
      </c>
      <c r="FO2" s="85" t="s">
        <v>182</v>
      </c>
      <c r="FP2" s="85" t="s">
        <v>183</v>
      </c>
      <c r="FR2" s="77" t="s">
        <v>184</v>
      </c>
      <c r="FS2" s="77" t="s">
        <v>185</v>
      </c>
      <c r="FW2" s="86" t="s">
        <v>186</v>
      </c>
      <c r="FX2" s="86" t="s">
        <v>187</v>
      </c>
      <c r="FY2" s="86" t="s">
        <v>188</v>
      </c>
      <c r="FZ2" s="86" t="s">
        <v>189</v>
      </c>
      <c r="GA2" s="86" t="s">
        <v>190</v>
      </c>
      <c r="GB2" s="86" t="s">
        <v>85</v>
      </c>
      <c r="GC2" s="87" t="s">
        <v>191</v>
      </c>
      <c r="GD2" s="87" t="s">
        <v>192</v>
      </c>
      <c r="GE2" s="87" t="s">
        <v>193</v>
      </c>
      <c r="GF2" s="87" t="s">
        <v>194</v>
      </c>
      <c r="GG2" s="87" t="s">
        <v>195</v>
      </c>
      <c r="GH2" s="87" t="s">
        <v>196</v>
      </c>
      <c r="GI2" s="87" t="s">
        <v>189</v>
      </c>
      <c r="GJ2" s="87" t="s">
        <v>190</v>
      </c>
      <c r="GK2" s="87" t="s">
        <v>85</v>
      </c>
      <c r="GL2" s="88" t="s">
        <v>197</v>
      </c>
      <c r="GM2" s="88" t="s">
        <v>198</v>
      </c>
      <c r="GN2" s="89" t="s">
        <v>199</v>
      </c>
      <c r="GO2" s="90" t="s">
        <v>200</v>
      </c>
      <c r="GP2" s="91" t="s">
        <v>201</v>
      </c>
      <c r="GQ2" s="90" t="s">
        <v>202</v>
      </c>
      <c r="GR2" s="90" t="s">
        <v>203</v>
      </c>
      <c r="GS2" s="90" t="s">
        <v>204</v>
      </c>
      <c r="GT2" s="90" t="s">
        <v>205</v>
      </c>
      <c r="GU2" s="43" t="s">
        <v>125</v>
      </c>
      <c r="GV2" s="43" t="s">
        <v>126</v>
      </c>
      <c r="GW2" s="92" t="s">
        <v>127</v>
      </c>
      <c r="GX2" s="92" t="s">
        <v>128</v>
      </c>
      <c r="GY2" s="43" t="s">
        <v>129</v>
      </c>
      <c r="GZ2" s="43" t="s">
        <v>130</v>
      </c>
      <c r="HA2" s="43" t="s">
        <v>131</v>
      </c>
      <c r="HB2" s="43" t="s">
        <v>132</v>
      </c>
      <c r="HC2" s="43" t="s">
        <v>133</v>
      </c>
      <c r="HD2" s="43" t="s">
        <v>134</v>
      </c>
      <c r="HE2" s="43" t="s">
        <v>85</v>
      </c>
      <c r="HF2" s="45" t="s">
        <v>125</v>
      </c>
      <c r="HG2" s="45" t="s">
        <v>126</v>
      </c>
      <c r="HH2" s="93" t="s">
        <v>127</v>
      </c>
      <c r="HI2" s="93" t="s">
        <v>128</v>
      </c>
      <c r="HJ2" s="45" t="s">
        <v>129</v>
      </c>
      <c r="HK2" s="45" t="s">
        <v>130</v>
      </c>
      <c r="HL2" s="45" t="s">
        <v>131</v>
      </c>
      <c r="HM2" s="45" t="s">
        <v>132</v>
      </c>
      <c r="HN2" s="45" t="s">
        <v>133</v>
      </c>
      <c r="HO2" s="45" t="s">
        <v>134</v>
      </c>
      <c r="HP2" s="45" t="s">
        <v>85</v>
      </c>
      <c r="HQ2" s="64" t="s">
        <v>76</v>
      </c>
      <c r="HR2" s="64" t="s">
        <v>77</v>
      </c>
      <c r="HS2" s="64" t="s">
        <v>78</v>
      </c>
      <c r="HT2" s="64" t="s">
        <v>79</v>
      </c>
      <c r="HU2" s="64" t="s">
        <v>80</v>
      </c>
      <c r="HV2" s="64" t="s">
        <v>81</v>
      </c>
      <c r="HW2" s="64" t="s">
        <v>82</v>
      </c>
      <c r="HX2" s="64" t="s">
        <v>83</v>
      </c>
      <c r="HY2" s="64" t="s">
        <v>84</v>
      </c>
      <c r="HZ2" s="64" t="s">
        <v>85</v>
      </c>
    </row>
    <row r="3" ht="11.25" customHeight="1">
      <c r="A3" s="49" t="s">
        <v>206</v>
      </c>
      <c r="B3" s="87" t="s">
        <v>207</v>
      </c>
      <c r="C3" s="94" t="s">
        <v>208</v>
      </c>
      <c r="D3" s="95" t="s">
        <v>209</v>
      </c>
      <c r="E3" s="96" t="str">
        <f t="shared" ref="E3:E97" si="3">if(BP3="x", 2, if(BQ3="x", 3, ""))</f>
        <v/>
      </c>
      <c r="F3" s="95" t="s">
        <v>210</v>
      </c>
      <c r="G3" s="95" t="s">
        <v>211</v>
      </c>
      <c r="H3" s="95">
        <v>2004.0</v>
      </c>
      <c r="I3" s="7"/>
      <c r="J3" s="95" t="s">
        <v>212</v>
      </c>
      <c r="K3" s="97">
        <f t="shared" ref="K3:K8" si="4">if(AND(D3="Aysu", F3="Vahid"), 1, "")</f>
        <v>1</v>
      </c>
      <c r="L3" s="97" t="str">
        <f t="shared" ref="L3:L8" si="5">if(AND(D3="Aysu", F3="Ali"), 1, "")</f>
        <v/>
      </c>
      <c r="M3" s="97" t="str">
        <f t="shared" ref="M3:M8" si="6">if(AND(D3="Vahid", F3="Aysu"), 1, "")</f>
        <v/>
      </c>
      <c r="N3" s="97" t="str">
        <f t="shared" ref="N3:N8" si="7">if(AND(D3="Vahid", F3="Ali"), 1, "")</f>
        <v/>
      </c>
      <c r="O3" s="97" t="str">
        <f t="shared" ref="O3:O8" si="8">if(AND(D3="Ali", F3="Vahid"), 1, "")</f>
        <v/>
      </c>
      <c r="P3" s="97" t="str">
        <f t="shared" ref="P3:P8" si="9">if(AND(D3="Ali", F3="Aysu"), 1, "")</f>
        <v/>
      </c>
      <c r="Q3" s="97" t="b">
        <f t="shared" ref="Q3:Q18" si="10">and(R3,V3)</f>
        <v>1</v>
      </c>
      <c r="R3" s="97" t="b">
        <f t="shared" ref="R3:R8" si="11">SUM(S3:U3)&gt;=2</f>
        <v>1</v>
      </c>
      <c r="S3" s="95">
        <v>1.0</v>
      </c>
      <c r="T3" s="95">
        <v>1.0</v>
      </c>
      <c r="U3" s="95">
        <v>1.0</v>
      </c>
      <c r="V3" s="97" t="b">
        <f t="shared" ref="V3:V8" si="12">SUM(W3:Y3)&gt;=2</f>
        <v>1</v>
      </c>
      <c r="W3" s="95">
        <v>0.0</v>
      </c>
      <c r="X3" s="95">
        <v>1.0</v>
      </c>
      <c r="Y3" s="95">
        <v>1.0</v>
      </c>
      <c r="Z3" s="7"/>
      <c r="AA3" s="97" t="str">
        <f>concat(J3,", ")</f>
        <v>Tonella:wse04, </v>
      </c>
      <c r="AB3" s="97" t="str">
        <f t="shared" ref="AB3:AB8" si="13">if(GI3="x",concat(J3,", "), "")</f>
        <v/>
      </c>
      <c r="AC3" s="98" t="s">
        <v>213</v>
      </c>
      <c r="AD3" s="95" t="s">
        <v>214</v>
      </c>
      <c r="AE3" s="7"/>
      <c r="AF3" s="97">
        <f>countif('Charts-SLR'!A:A,AD3)</f>
        <v>1</v>
      </c>
      <c r="AG3" s="95" t="s">
        <v>215</v>
      </c>
      <c r="AH3" s="97">
        <f t="shared" ref="AH3:AH8" si="14">countif({},AG3)</f>
        <v>0</v>
      </c>
      <c r="AI3" s="95" t="s">
        <v>216</v>
      </c>
      <c r="AJ3" s="95">
        <v>37.0</v>
      </c>
      <c r="AK3" s="99">
        <f t="shared" ref="AK3:AK8" si="15">AJ3/(2012-H3)</f>
        <v>4.625</v>
      </c>
      <c r="AL3" s="97" t="str">
        <f t="shared" ref="AL3:AL8" si="16">if(AI3="J",AJ3,"")</f>
        <v/>
      </c>
      <c r="AM3" s="97" t="str">
        <f t="shared" ref="AM3:AM8" si="17">if(AI3="C",AJ3,"")</f>
        <v/>
      </c>
      <c r="AN3" s="97">
        <f t="shared" ref="AN3:AN8" si="18">if(AI3="W", AJ3,"")</f>
        <v>37</v>
      </c>
      <c r="AO3" s="97" t="str">
        <f t="shared" ref="AO3:AO8" si="19">if(AI3="M",AJ3,"")</f>
        <v/>
      </c>
      <c r="AP3" s="97" t="str">
        <f t="shared" ref="AP3:AP8" si="20">if(AI3="S",AJ3,"")</f>
        <v/>
      </c>
      <c r="AQ3" s="97" t="str">
        <f t="shared" ref="AQ3:AQ8" si="21">if(BH3="x",concat(J3,", "), "")</f>
        <v/>
      </c>
      <c r="AR3" s="100"/>
      <c r="AS3" s="100"/>
      <c r="AT3" s="100"/>
      <c r="AU3" s="100"/>
      <c r="AV3" s="100"/>
      <c r="AW3" s="100"/>
      <c r="AX3" s="100"/>
      <c r="AY3" s="100"/>
      <c r="AZ3" s="100"/>
      <c r="BA3" s="100"/>
      <c r="BB3" s="101" t="str">
        <f t="shared" ref="BB3:BB18" si="22">if(counta(AU3:BA3)=0, "ERR", "")</f>
        <v>ERR</v>
      </c>
      <c r="BC3" s="100"/>
      <c r="BD3" s="100"/>
      <c r="BE3" s="102" t="s">
        <v>217</v>
      </c>
      <c r="BF3" s="100"/>
      <c r="BG3" s="100"/>
      <c r="BH3" s="100"/>
      <c r="BI3" s="103">
        <f t="shared" ref="BI3:BI8" si="23">COUNTA(BC3:BH3)</f>
        <v>1</v>
      </c>
      <c r="BJ3" s="102" t="s">
        <v>217</v>
      </c>
      <c r="BK3" s="102" t="s">
        <v>217</v>
      </c>
      <c r="BL3" s="100"/>
      <c r="BM3" s="100"/>
      <c r="BN3" s="102" t="s">
        <v>218</v>
      </c>
      <c r="BO3" s="102" t="s">
        <v>217</v>
      </c>
      <c r="BP3" s="100"/>
      <c r="BQ3" s="100"/>
      <c r="BR3" s="100"/>
      <c r="BS3" s="100"/>
      <c r="BT3" s="100"/>
      <c r="BU3" s="74"/>
      <c r="BV3" s="102" t="s">
        <v>217</v>
      </c>
      <c r="BW3" s="100"/>
      <c r="BX3" s="100"/>
      <c r="BY3" s="102" t="s">
        <v>217</v>
      </c>
      <c r="BZ3" s="100"/>
      <c r="CA3" s="100"/>
      <c r="CB3" s="100"/>
      <c r="CC3" s="100"/>
      <c r="CD3" s="100"/>
      <c r="CE3" s="100"/>
      <c r="CF3" s="100"/>
      <c r="CG3" s="102" t="s">
        <v>217</v>
      </c>
      <c r="CH3" s="102" t="s">
        <v>217</v>
      </c>
      <c r="CI3" s="102" t="s">
        <v>217</v>
      </c>
      <c r="CJ3" s="100"/>
      <c r="CK3" s="100"/>
      <c r="CL3" s="100"/>
      <c r="CM3" s="102" t="s">
        <v>217</v>
      </c>
      <c r="CN3" s="102" t="s">
        <v>217</v>
      </c>
      <c r="CO3" s="100"/>
      <c r="CP3" s="100"/>
      <c r="CQ3" s="100"/>
      <c r="CR3" s="7"/>
      <c r="CS3" s="7"/>
      <c r="CT3" s="7"/>
      <c r="CU3" s="7"/>
      <c r="CV3" s="7"/>
      <c r="CW3" s="7"/>
      <c r="CX3" s="7"/>
      <c r="CY3" s="95" t="s">
        <v>217</v>
      </c>
      <c r="CZ3" s="7"/>
      <c r="DA3" s="7"/>
      <c r="DB3" s="7"/>
      <c r="DC3" s="7"/>
      <c r="DD3" s="7"/>
      <c r="DE3" s="7"/>
      <c r="DF3" s="7"/>
      <c r="DG3" s="97">
        <f t="shared" ref="DG3:DG18" si="24">counta(CV3:DF3)</f>
        <v>1</v>
      </c>
      <c r="DH3" s="95" t="s">
        <v>217</v>
      </c>
      <c r="DI3" s="7"/>
      <c r="DJ3" s="7"/>
      <c r="DK3" s="7"/>
      <c r="DL3" s="7"/>
      <c r="DM3" s="97">
        <f t="shared" ref="DM3:DM8" si="25">counta(DH3:DL3)</f>
        <v>1</v>
      </c>
      <c r="DN3" s="95" t="s">
        <v>217</v>
      </c>
      <c r="DO3" s="7"/>
      <c r="DP3" s="97" t="str">
        <f t="shared" ref="DP3:DP18" si="26">if(and(DN3="x",DO3="x"), "both", "")</f>
        <v/>
      </c>
      <c r="DQ3" s="97" t="str">
        <f t="shared" ref="DQ3:DQ18" si="27">if(and(DN3="x",DO3=""), "FM", "")</f>
        <v>FM</v>
      </c>
      <c r="DR3" s="97" t="str">
        <f t="shared" ref="DR3:DR18" si="28">if(and(DO3="x",DN3=""), "FA", "")</f>
        <v/>
      </c>
      <c r="DS3" s="104" t="s">
        <v>219</v>
      </c>
      <c r="DT3" s="102" t="s">
        <v>220</v>
      </c>
      <c r="DU3" s="100"/>
      <c r="DV3" s="100"/>
      <c r="DW3" s="100"/>
      <c r="DX3" s="100"/>
      <c r="DY3" s="103">
        <f t="shared" ref="DY3:DY97" si="29">counta(DS3:DX3)</f>
        <v>2</v>
      </c>
      <c r="DZ3" s="100"/>
      <c r="EA3" s="100"/>
      <c r="EB3" s="100"/>
      <c r="EC3" s="100"/>
      <c r="ED3" s="100"/>
      <c r="EE3" s="103">
        <f t="shared" ref="EE3:EE97" si="30">counta(EA3:ED3)</f>
        <v>0</v>
      </c>
      <c r="EF3" s="103" t="str">
        <f>if(AND(DY3&gt;0,EC3&gt;0), "x", "")</f>
        <v/>
      </c>
      <c r="EG3" s="97" t="str">
        <f t="shared" ref="EG3:EG97" si="31">if(and(DX3&lt;&gt;"",EC3&lt;&gt;""), "x", "")</f>
        <v/>
      </c>
      <c r="EH3" s="7"/>
      <c r="EI3" s="7"/>
      <c r="EJ3" s="100"/>
      <c r="EK3" s="100"/>
      <c r="EL3" s="100"/>
      <c r="EM3" s="100"/>
      <c r="EN3" s="7"/>
      <c r="EO3" s="95" t="s">
        <v>221</v>
      </c>
      <c r="EP3" s="7"/>
      <c r="EQ3" s="95" t="s">
        <v>217</v>
      </c>
      <c r="ER3" s="7"/>
      <c r="ES3" s="7"/>
      <c r="ET3" s="100"/>
      <c r="EU3" s="100"/>
      <c r="EV3" s="100"/>
      <c r="EW3" s="100"/>
      <c r="EX3" s="100"/>
      <c r="EY3" s="7"/>
      <c r="EZ3" s="7"/>
      <c r="FA3" s="7"/>
      <c r="FB3" s="7"/>
      <c r="FC3" s="7"/>
      <c r="FD3" s="7"/>
      <c r="FE3" s="97" t="str">
        <f t="shared" ref="FE3:FE97" si="32">if(E3="", "", counta(FA3:FD3))</f>
        <v/>
      </c>
      <c r="FF3" s="7"/>
      <c r="FG3" s="7"/>
      <c r="FH3" s="7"/>
      <c r="FI3" s="7"/>
      <c r="FJ3" s="7"/>
      <c r="FK3" s="7"/>
      <c r="FL3" s="7"/>
      <c r="FM3" s="7"/>
      <c r="FN3" s="7"/>
      <c r="FO3" s="7"/>
      <c r="FP3" s="95" t="s">
        <v>217</v>
      </c>
      <c r="FQ3" s="97" t="str">
        <f t="shared" ref="FQ3:FQ8" si="33">if(and(FO3="",FP3=""), "both", "")</f>
        <v/>
      </c>
      <c r="FR3" s="95" t="s">
        <v>217</v>
      </c>
      <c r="FS3" s="7"/>
      <c r="FT3" s="97" t="str">
        <f t="shared" ref="FT3:FT8" si="34">if(and(FS3="x",FR3="x"), "both", "")</f>
        <v/>
      </c>
      <c r="FU3" s="97" t="str">
        <f t="shared" ref="FU3:FU8" si="35">if(and(FR3="",FS3=""), "none", "")</f>
        <v/>
      </c>
      <c r="FV3" s="100"/>
      <c r="FW3" s="95" t="s">
        <v>217</v>
      </c>
      <c r="FX3" s="7"/>
      <c r="FY3" s="95" t="s">
        <v>217</v>
      </c>
      <c r="FZ3" s="7"/>
      <c r="GA3" s="7"/>
      <c r="GB3" s="7"/>
      <c r="GC3" s="95" t="s">
        <v>217</v>
      </c>
      <c r="GD3" s="7"/>
      <c r="GE3" s="7"/>
      <c r="GF3" s="7"/>
      <c r="GG3" s="7"/>
      <c r="GH3" s="7"/>
      <c r="GI3" s="7"/>
      <c r="GJ3" s="7"/>
      <c r="GK3" s="7"/>
      <c r="GL3" s="7"/>
      <c r="GM3" s="7"/>
      <c r="GN3" s="95">
        <v>1.0</v>
      </c>
      <c r="GO3" s="98" t="s">
        <v>222</v>
      </c>
      <c r="GP3" s="105">
        <v>556.0</v>
      </c>
      <c r="GQ3" s="95" t="s">
        <v>223</v>
      </c>
      <c r="GR3" s="7"/>
      <c r="GS3" s="95" t="s">
        <v>217</v>
      </c>
      <c r="GT3" s="7"/>
      <c r="GU3" s="61" t="str">
        <f t="shared" ref="GU3:GU97" si="36">if(and(CG3="x",CV3="x"), "x", "")</f>
        <v/>
      </c>
      <c r="GV3" s="61" t="str">
        <f t="shared" ref="GV3:GV97" si="37">if(and(CG3="x",CW3="x"), "x", "")</f>
        <v/>
      </c>
      <c r="GW3" s="61" t="str">
        <f t="shared" ref="GW3:GW97" si="38">if(and(CG3="x",CX3="x"), "x", "")</f>
        <v/>
      </c>
      <c r="GX3" s="61" t="str">
        <f t="shared" ref="GX3:GX97" si="39">if(and(CG3="x",CY3="x"), "x", "")</f>
        <v>x</v>
      </c>
      <c r="GY3" s="61" t="str">
        <f t="shared" ref="GY3:GY97" si="40">if(and(CG3="x",CZ3="x"), "x", "")</f>
        <v/>
      </c>
      <c r="GZ3" s="61" t="str">
        <f t="shared" ref="GZ3:GZ97" si="41">if(and(CG3="x",DA3="x"), "x", "")</f>
        <v/>
      </c>
      <c r="HA3" s="61" t="str">
        <f t="shared" ref="HA3:HA97" si="42">if(and(CG3="x",DB3="x"), "x", "")</f>
        <v/>
      </c>
      <c r="HB3" s="61" t="str">
        <f t="shared" ref="HB3:HB97" si="43">if(and(CG3="x",DC3="x"), "x", "")</f>
        <v/>
      </c>
      <c r="HC3" s="61" t="str">
        <f t="shared" ref="HC3:HC97" si="44">if(and(CG3="x",DD3="x"), "x", "")</f>
        <v/>
      </c>
      <c r="HD3" s="61" t="str">
        <f t="shared" ref="HD3:HD97" si="45">if(and(CG3="x",DE3="x"), "x", "")</f>
        <v/>
      </c>
      <c r="HE3" s="61" t="str">
        <f t="shared" ref="HE3:HE97" si="46">if(and(CG3="x",DF3="x"), "x", "")</f>
        <v/>
      </c>
      <c r="HF3" s="61" t="str">
        <f t="shared" ref="HF3:HF97" si="47">if(and(FS3="x",CV3="x"), "x", "")</f>
        <v/>
      </c>
      <c r="HG3" s="61" t="str">
        <f t="shared" ref="HG3:HG97" si="48">if(and(FS3="x",CW3="x"), "x", "")</f>
        <v/>
      </c>
      <c r="HH3" s="61" t="str">
        <f t="shared" ref="HH3:HH97" si="49">if(and(FS3="x",CX3="x"), "x", "")</f>
        <v/>
      </c>
      <c r="HI3" s="61" t="str">
        <f t="shared" ref="HI3:HI97" si="50">if(and(FS3="x",CY3="x"), "x", "")</f>
        <v/>
      </c>
      <c r="HJ3" s="61" t="str">
        <f t="shared" ref="HJ3:HJ97" si="51">if(and(FS3="x",CZ3="x"), "x", "")</f>
        <v/>
      </c>
      <c r="HK3" s="61" t="str">
        <f t="shared" ref="HK3:HK97" si="52">if(and(FS3="x",DA3="x"), "x", "")</f>
        <v/>
      </c>
      <c r="HL3" s="61" t="str">
        <f t="shared" ref="HL3:HL97" si="53">if(and(FS3="x",DB3="x"), "x", "")</f>
        <v/>
      </c>
      <c r="HM3" s="61" t="str">
        <f t="shared" ref="HM3:HM97" si="54">if(and(FS3="x",DC3="x"), "x", "")</f>
        <v/>
      </c>
      <c r="HN3" s="61" t="str">
        <f t="shared" ref="HN3:HN97" si="55">if(and(FS3="x",DD3="x"), "x", "")</f>
        <v/>
      </c>
      <c r="HO3" s="61" t="str">
        <f t="shared" ref="HO3:HO97" si="56">if(and(FS3="x",DE3="x"), "x", "")</f>
        <v/>
      </c>
      <c r="HP3" s="61" t="str">
        <f t="shared" ref="HP3:HP97" si="57">if(and(FS3="x",DF3="x"), "x", "")</f>
        <v/>
      </c>
      <c r="HQ3" s="61" t="str">
        <f t="shared" ref="HQ3:HQ97" si="58">if(and(AR3="x",BD3="x"), "x", "")</f>
        <v/>
      </c>
      <c r="HR3" s="61" t="str">
        <f t="shared" ref="HR3:HR97" si="59">if(and(AS3="x",BD3="x"), "x", "")</f>
        <v/>
      </c>
      <c r="HS3" s="61" t="str">
        <f t="shared" ref="HS3:HS97" si="60">if(and(AT3="x",BD3="x"), "x", "")</f>
        <v/>
      </c>
      <c r="HT3" s="61" t="str">
        <f t="shared" ref="HT3:HT97" si="61">if(and(AU3="x",BD3="x"), "x", "")</f>
        <v/>
      </c>
      <c r="HU3" s="61" t="str">
        <f t="shared" ref="HU3:HU97" si="62">if(and(AV3="x",BD3="x"), "x", "")</f>
        <v/>
      </c>
      <c r="HV3" s="61" t="str">
        <f t="shared" ref="HV3:HV97" si="63">if(and(AD3="x",BI3="x"), "x", "")</f>
        <v/>
      </c>
      <c r="HW3" s="61" t="str">
        <f t="shared" ref="HW3:HW97" si="64">if(and(AX3="x",BD3="x"), "x", "")</f>
        <v/>
      </c>
      <c r="HX3" s="61" t="str">
        <f t="shared" ref="HX3:HX97" si="65">if(and(AY3="x",BD3="x"), "x", "")</f>
        <v/>
      </c>
      <c r="HY3" s="61" t="str">
        <f t="shared" ref="HY3:HY97" si="66">if(and(AZ3="x",BD3="x"), "x", "")</f>
        <v/>
      </c>
      <c r="HZ3" s="61" t="str">
        <f t="shared" ref="HZ3:HZ97" si="67">if(and(BA3="x",BD3="x"), "x", "")</f>
        <v/>
      </c>
    </row>
    <row r="4" ht="13.5" customHeight="1">
      <c r="A4" s="49" t="s">
        <v>224</v>
      </c>
      <c r="B4" s="80" t="s">
        <v>225</v>
      </c>
      <c r="C4" s="106" t="s">
        <v>226</v>
      </c>
      <c r="D4" s="80" t="s">
        <v>209</v>
      </c>
      <c r="E4" s="107">
        <f t="shared" si="3"/>
        <v>3</v>
      </c>
      <c r="F4" s="80" t="s">
        <v>210</v>
      </c>
      <c r="G4" s="80" t="s">
        <v>227</v>
      </c>
      <c r="H4" s="80">
        <v>2008.0</v>
      </c>
      <c r="J4" s="80" t="s">
        <v>228</v>
      </c>
      <c r="K4" s="61">
        <f t="shared" si="4"/>
        <v>1</v>
      </c>
      <c r="L4" s="61" t="str">
        <f t="shared" si="5"/>
        <v/>
      </c>
      <c r="M4" s="61" t="str">
        <f t="shared" si="6"/>
        <v/>
      </c>
      <c r="N4" s="61" t="str">
        <f t="shared" si="7"/>
        <v/>
      </c>
      <c r="O4" s="61" t="str">
        <f t="shared" si="8"/>
        <v/>
      </c>
      <c r="P4" s="61" t="str">
        <f t="shared" si="9"/>
        <v/>
      </c>
      <c r="Q4" s="61" t="b">
        <f t="shared" si="10"/>
        <v>1</v>
      </c>
      <c r="R4" s="61" t="b">
        <f t="shared" si="11"/>
        <v>1</v>
      </c>
      <c r="S4" s="80">
        <v>1.0</v>
      </c>
      <c r="T4" s="80">
        <v>1.0</v>
      </c>
      <c r="U4" s="80">
        <v>1.0</v>
      </c>
      <c r="V4" s="61" t="b">
        <f t="shared" si="12"/>
        <v>1</v>
      </c>
      <c r="W4" s="80">
        <v>1.0</v>
      </c>
      <c r="X4" s="80">
        <v>1.0</v>
      </c>
      <c r="Y4" s="80">
        <v>1.0</v>
      </c>
      <c r="AA4" s="61" t="str">
        <f t="shared" ref="AA4:AA8" si="68">iferror(if(find("Pollock", AC4)&gt;0,concat(J4,", "), ""))</f>
        <v/>
      </c>
      <c r="AB4" s="61" t="str">
        <f t="shared" si="13"/>
        <v/>
      </c>
      <c r="AC4" s="80" t="s">
        <v>229</v>
      </c>
      <c r="AD4" s="80" t="s">
        <v>214</v>
      </c>
      <c r="AF4" s="61">
        <f>countif('Charts-SLR'!A:A,AD4)</f>
        <v>1</v>
      </c>
      <c r="AG4" s="80" t="s">
        <v>230</v>
      </c>
      <c r="AH4" s="61">
        <f t="shared" si="14"/>
        <v>0</v>
      </c>
      <c r="AI4" s="80" t="s">
        <v>231</v>
      </c>
      <c r="AJ4" s="80">
        <v>19.0</v>
      </c>
      <c r="AK4" s="108">
        <f t="shared" si="15"/>
        <v>4.75</v>
      </c>
      <c r="AL4" s="61">
        <f t="shared" si="16"/>
        <v>19</v>
      </c>
      <c r="AM4" s="61" t="str">
        <f t="shared" si="17"/>
        <v/>
      </c>
      <c r="AN4" s="61" t="str">
        <f t="shared" si="18"/>
        <v/>
      </c>
      <c r="AO4" s="61" t="str">
        <f t="shared" si="19"/>
        <v/>
      </c>
      <c r="AP4" s="61" t="str">
        <f t="shared" si="20"/>
        <v/>
      </c>
      <c r="AQ4" s="61" t="str">
        <f t="shared" si="21"/>
        <v>Marchetto:sttt08, </v>
      </c>
      <c r="AR4" s="74"/>
      <c r="AS4" s="74"/>
      <c r="AT4" s="74"/>
      <c r="AU4" s="73" t="s">
        <v>217</v>
      </c>
      <c r="AV4" s="74"/>
      <c r="AW4" s="74"/>
      <c r="AX4" s="74"/>
      <c r="AY4" s="74"/>
      <c r="AZ4" s="74"/>
      <c r="BA4" s="74"/>
      <c r="BB4" s="109" t="str">
        <f t="shared" si="22"/>
        <v/>
      </c>
      <c r="BC4" s="74"/>
      <c r="BD4" s="74"/>
      <c r="BE4" s="74"/>
      <c r="BF4" s="74"/>
      <c r="BG4" s="74"/>
      <c r="BH4" s="73" t="s">
        <v>217</v>
      </c>
      <c r="BI4" s="110">
        <f t="shared" si="23"/>
        <v>1</v>
      </c>
      <c r="BJ4" s="74"/>
      <c r="BK4" s="74"/>
      <c r="BL4" s="74"/>
      <c r="BM4" s="74"/>
      <c r="BN4" s="74"/>
      <c r="BO4" s="74"/>
      <c r="BP4" s="74"/>
      <c r="BQ4" s="73" t="s">
        <v>217</v>
      </c>
      <c r="BR4" s="74"/>
      <c r="BS4" s="74"/>
      <c r="BT4" s="74"/>
      <c r="BU4" s="74"/>
      <c r="BV4" s="73" t="s">
        <v>217</v>
      </c>
      <c r="BW4" s="74"/>
      <c r="BX4" s="73" t="s">
        <v>217</v>
      </c>
      <c r="BY4" s="73" t="s">
        <v>217</v>
      </c>
      <c r="BZ4" s="74"/>
      <c r="CA4" s="73" t="s">
        <v>217</v>
      </c>
      <c r="CB4" s="73" t="s">
        <v>217</v>
      </c>
      <c r="CC4" s="74"/>
      <c r="CD4" s="74"/>
      <c r="CE4" s="74"/>
      <c r="CF4" s="74"/>
      <c r="CG4" s="73" t="s">
        <v>217</v>
      </c>
      <c r="CH4" s="74"/>
      <c r="CI4" s="111" t="str">
        <f t="shared" ref="CI4:CI9" si="69">if(and(CG4="x",CH4="x"), "x", "")</f>
        <v/>
      </c>
      <c r="CJ4" s="74"/>
      <c r="CK4" s="73" t="s">
        <v>217</v>
      </c>
      <c r="CL4" s="74"/>
      <c r="CM4" s="73" t="s">
        <v>217</v>
      </c>
      <c r="CN4" s="73" t="s">
        <v>217</v>
      </c>
      <c r="CO4" s="74"/>
      <c r="CP4" s="73" t="s">
        <v>217</v>
      </c>
      <c r="CQ4" s="74"/>
      <c r="CS4" s="80" t="s">
        <v>217</v>
      </c>
      <c r="CV4" s="80" t="s">
        <v>217</v>
      </c>
      <c r="DC4" s="80" t="s">
        <v>217</v>
      </c>
      <c r="DE4" s="80" t="s">
        <v>217</v>
      </c>
      <c r="DG4" s="61">
        <f t="shared" si="24"/>
        <v>3</v>
      </c>
      <c r="DH4" s="80" t="s">
        <v>217</v>
      </c>
      <c r="DM4" s="61">
        <f t="shared" si="25"/>
        <v>1</v>
      </c>
      <c r="DO4" s="80" t="s">
        <v>217</v>
      </c>
      <c r="DP4" s="61" t="str">
        <f t="shared" si="26"/>
        <v/>
      </c>
      <c r="DQ4" s="61" t="str">
        <f t="shared" si="27"/>
        <v/>
      </c>
      <c r="DR4" s="61" t="str">
        <f t="shared" si="28"/>
        <v>FA</v>
      </c>
      <c r="DS4" s="74"/>
      <c r="DU4" s="73" t="s">
        <v>232</v>
      </c>
      <c r="DV4" s="74"/>
      <c r="DW4" s="73" t="s">
        <v>217</v>
      </c>
      <c r="DX4" s="74"/>
      <c r="DY4" s="110">
        <f t="shared" si="29"/>
        <v>2</v>
      </c>
      <c r="DZ4" s="74"/>
      <c r="EA4" s="73" t="s">
        <v>217</v>
      </c>
      <c r="EB4" s="73" t="s">
        <v>217</v>
      </c>
      <c r="EC4" s="74"/>
      <c r="ED4" s="73" t="s">
        <v>217</v>
      </c>
      <c r="EE4" s="110">
        <f t="shared" si="30"/>
        <v>3</v>
      </c>
      <c r="EF4" s="110" t="str">
        <f t="shared" ref="EF4:EF97" si="70">if(AND(DY4&gt;0,EE4&gt;0), "x", "")</f>
        <v>x</v>
      </c>
      <c r="EG4" s="61" t="str">
        <f t="shared" si="31"/>
        <v/>
      </c>
      <c r="EI4" s="80" t="s">
        <v>233</v>
      </c>
      <c r="EJ4" s="74"/>
      <c r="EK4" s="73" t="s">
        <v>217</v>
      </c>
      <c r="EL4" s="74"/>
      <c r="EM4" s="73" t="s">
        <v>217</v>
      </c>
      <c r="EN4" s="80" t="s">
        <v>217</v>
      </c>
      <c r="ES4" s="80" t="s">
        <v>234</v>
      </c>
      <c r="ET4" s="73">
        <v>2.0</v>
      </c>
      <c r="EU4" s="73" t="s">
        <v>217</v>
      </c>
      <c r="EV4" s="73" t="s">
        <v>217</v>
      </c>
      <c r="EW4" s="74"/>
      <c r="EX4" s="74"/>
      <c r="EZ4" s="80" t="s">
        <v>235</v>
      </c>
      <c r="FA4" s="80" t="s">
        <v>236</v>
      </c>
      <c r="FB4" s="80" t="s">
        <v>237</v>
      </c>
      <c r="FC4" s="80" t="s">
        <v>238</v>
      </c>
      <c r="FD4" s="80" t="s">
        <v>239</v>
      </c>
      <c r="FE4" s="97">
        <f t="shared" si="32"/>
        <v>4</v>
      </c>
      <c r="FF4" s="80">
        <v>1.0</v>
      </c>
      <c r="FG4" s="80">
        <v>1.0</v>
      </c>
      <c r="FH4" s="80">
        <v>1.0</v>
      </c>
      <c r="FI4" s="61">
        <f t="shared" ref="FI4:FI7" si="71">sum(FF4:FH4)</f>
        <v>3</v>
      </c>
      <c r="FJ4" s="80">
        <v>0.0</v>
      </c>
      <c r="FK4" s="80">
        <v>0.0</v>
      </c>
      <c r="FL4" s="80" t="s">
        <v>189</v>
      </c>
      <c r="FM4" s="61" t="str">
        <f t="shared" ref="FM4:FM7" si="72">if(GP4&lt;1000, "0", if(GP4&lt;10000, "0.5","1"))</f>
        <v>0.5</v>
      </c>
      <c r="FN4" s="61">
        <f t="shared" ref="FN4:FN7" si="73">sum(FJ4:FM4)</f>
        <v>0</v>
      </c>
      <c r="FP4" s="80" t="s">
        <v>217</v>
      </c>
      <c r="FQ4" s="61" t="str">
        <f t="shared" si="33"/>
        <v/>
      </c>
      <c r="FS4" s="80" t="s">
        <v>217</v>
      </c>
      <c r="FT4" s="61" t="str">
        <f t="shared" si="34"/>
        <v/>
      </c>
      <c r="FU4" s="61" t="str">
        <f t="shared" si="35"/>
        <v/>
      </c>
      <c r="FV4" s="73" t="s">
        <v>217</v>
      </c>
      <c r="FW4" s="80" t="s">
        <v>217</v>
      </c>
      <c r="FX4" s="80" t="s">
        <v>217</v>
      </c>
      <c r="FY4" s="80" t="s">
        <v>217</v>
      </c>
      <c r="GN4" s="80">
        <v>2.0</v>
      </c>
      <c r="GO4" s="80" t="s">
        <v>240</v>
      </c>
      <c r="GP4" s="112">
        <v>5400.0</v>
      </c>
      <c r="GQ4" s="80" t="s">
        <v>241</v>
      </c>
      <c r="GS4" s="80" t="s">
        <v>217</v>
      </c>
      <c r="GU4" s="61" t="str">
        <f t="shared" si="36"/>
        <v>x</v>
      </c>
      <c r="GV4" s="61" t="str">
        <f t="shared" si="37"/>
        <v/>
      </c>
      <c r="GW4" s="61" t="str">
        <f t="shared" si="38"/>
        <v/>
      </c>
      <c r="GX4" s="61" t="str">
        <f t="shared" si="39"/>
        <v/>
      </c>
      <c r="GY4" s="61" t="str">
        <f t="shared" si="40"/>
        <v/>
      </c>
      <c r="GZ4" s="61" t="str">
        <f t="shared" si="41"/>
        <v/>
      </c>
      <c r="HA4" s="61" t="str">
        <f t="shared" si="42"/>
        <v/>
      </c>
      <c r="HB4" s="61" t="str">
        <f t="shared" si="43"/>
        <v>x</v>
      </c>
      <c r="HC4" s="61" t="str">
        <f t="shared" si="44"/>
        <v/>
      </c>
      <c r="HD4" s="61" t="str">
        <f t="shared" si="45"/>
        <v>x</v>
      </c>
      <c r="HE4" s="61" t="str">
        <f t="shared" si="46"/>
        <v/>
      </c>
      <c r="HF4" s="61" t="str">
        <f t="shared" si="47"/>
        <v>x</v>
      </c>
      <c r="HG4" s="61" t="str">
        <f t="shared" si="48"/>
        <v/>
      </c>
      <c r="HH4" s="61" t="str">
        <f t="shared" si="49"/>
        <v/>
      </c>
      <c r="HI4" s="61" t="str">
        <f t="shared" si="50"/>
        <v/>
      </c>
      <c r="HJ4" s="61" t="str">
        <f t="shared" si="51"/>
        <v/>
      </c>
      <c r="HK4" s="61" t="str">
        <f t="shared" si="52"/>
        <v/>
      </c>
      <c r="HL4" s="61" t="str">
        <f t="shared" si="53"/>
        <v/>
      </c>
      <c r="HM4" s="61" t="str">
        <f t="shared" si="54"/>
        <v>x</v>
      </c>
      <c r="HN4" s="61" t="str">
        <f t="shared" si="55"/>
        <v/>
      </c>
      <c r="HO4" s="61" t="str">
        <f t="shared" si="56"/>
        <v>x</v>
      </c>
      <c r="HP4" s="61" t="str">
        <f t="shared" si="57"/>
        <v/>
      </c>
      <c r="HQ4" s="61" t="str">
        <f t="shared" si="58"/>
        <v/>
      </c>
      <c r="HR4" s="61" t="str">
        <f t="shared" si="59"/>
        <v/>
      </c>
      <c r="HS4" s="61" t="str">
        <f t="shared" si="60"/>
        <v/>
      </c>
      <c r="HT4" s="61" t="str">
        <f t="shared" si="61"/>
        <v/>
      </c>
      <c r="HU4" s="61" t="str">
        <f t="shared" si="62"/>
        <v/>
      </c>
      <c r="HV4" s="61" t="str">
        <f t="shared" si="63"/>
        <v/>
      </c>
      <c r="HW4" s="61" t="str">
        <f t="shared" si="64"/>
        <v/>
      </c>
      <c r="HX4" s="61" t="str">
        <f t="shared" si="65"/>
        <v/>
      </c>
      <c r="HY4" s="61" t="str">
        <f t="shared" si="66"/>
        <v/>
      </c>
      <c r="HZ4" s="61" t="str">
        <f t="shared" si="67"/>
        <v/>
      </c>
    </row>
    <row r="5" ht="1.5" customHeight="1">
      <c r="A5" s="49" t="s">
        <v>242</v>
      </c>
      <c r="B5" s="80" t="s">
        <v>243</v>
      </c>
      <c r="C5" s="113" t="s">
        <v>244</v>
      </c>
      <c r="D5" s="80" t="s">
        <v>245</v>
      </c>
      <c r="E5" s="107">
        <f t="shared" si="3"/>
        <v>2</v>
      </c>
      <c r="F5" s="80" t="s">
        <v>209</v>
      </c>
      <c r="G5" s="80" t="s">
        <v>211</v>
      </c>
      <c r="H5" s="80">
        <v>2011.0</v>
      </c>
      <c r="J5" s="80" t="s">
        <v>246</v>
      </c>
      <c r="K5" s="61" t="str">
        <f t="shared" si="4"/>
        <v/>
      </c>
      <c r="L5" s="61" t="str">
        <f t="shared" si="5"/>
        <v/>
      </c>
      <c r="M5" s="61" t="str">
        <f t="shared" si="6"/>
        <v/>
      </c>
      <c r="N5" s="61" t="str">
        <f t="shared" si="7"/>
        <v/>
      </c>
      <c r="O5" s="61" t="str">
        <f t="shared" si="8"/>
        <v/>
      </c>
      <c r="P5" s="61">
        <f t="shared" si="9"/>
        <v>1</v>
      </c>
      <c r="Q5" s="61" t="b">
        <f t="shared" si="10"/>
        <v>1</v>
      </c>
      <c r="R5" s="61" t="b">
        <f t="shared" si="11"/>
        <v>1</v>
      </c>
      <c r="S5" s="80">
        <v>1.0</v>
      </c>
      <c r="T5" s="80">
        <v>1.0</v>
      </c>
      <c r="U5" s="80">
        <v>1.0</v>
      </c>
      <c r="V5" s="61" t="b">
        <f t="shared" si="12"/>
        <v>1</v>
      </c>
      <c r="W5" s="80">
        <v>1.0</v>
      </c>
      <c r="X5" s="80">
        <v>1.0</v>
      </c>
      <c r="Y5" s="80">
        <v>1.0</v>
      </c>
      <c r="AA5" s="61" t="str">
        <f t="shared" si="68"/>
        <v/>
      </c>
      <c r="AB5" s="61" t="str">
        <f t="shared" si="13"/>
        <v>Artzi:icse2011, </v>
      </c>
      <c r="AC5" s="114" t="s">
        <v>247</v>
      </c>
      <c r="AD5" s="80" t="s">
        <v>248</v>
      </c>
      <c r="AE5" s="80" t="s">
        <v>217</v>
      </c>
      <c r="AF5" s="80">
        <v>1.0</v>
      </c>
      <c r="AG5" s="80" t="s">
        <v>249</v>
      </c>
      <c r="AH5" s="61">
        <f t="shared" si="14"/>
        <v>0</v>
      </c>
      <c r="AI5" s="80" t="s">
        <v>250</v>
      </c>
      <c r="AJ5" s="80">
        <v>5.0</v>
      </c>
      <c r="AK5" s="108">
        <f t="shared" si="15"/>
        <v>5</v>
      </c>
      <c r="AL5" s="61" t="str">
        <f t="shared" si="16"/>
        <v/>
      </c>
      <c r="AM5" s="61">
        <f t="shared" si="17"/>
        <v>5</v>
      </c>
      <c r="AN5" s="61" t="str">
        <f t="shared" si="18"/>
        <v/>
      </c>
      <c r="AO5" s="61" t="str">
        <f t="shared" si="19"/>
        <v/>
      </c>
      <c r="AP5" s="61" t="str">
        <f t="shared" si="20"/>
        <v/>
      </c>
      <c r="AQ5" s="61" t="str">
        <f t="shared" si="21"/>
        <v/>
      </c>
      <c r="AR5" s="74"/>
      <c r="AS5" s="73" t="s">
        <v>217</v>
      </c>
      <c r="AT5" s="74"/>
      <c r="AU5" s="74"/>
      <c r="AV5" s="74"/>
      <c r="AW5" s="74"/>
      <c r="AX5" s="74"/>
      <c r="AY5" s="74"/>
      <c r="AZ5" s="74"/>
      <c r="BA5" s="74"/>
      <c r="BB5" s="109" t="str">
        <f t="shared" si="22"/>
        <v>ERR</v>
      </c>
      <c r="BC5" s="73" t="s">
        <v>217</v>
      </c>
      <c r="BD5" s="73" t="s">
        <v>217</v>
      </c>
      <c r="BE5" s="73" t="s">
        <v>217</v>
      </c>
      <c r="BF5" s="74"/>
      <c r="BG5" s="74"/>
      <c r="BH5" s="74"/>
      <c r="BI5" s="110">
        <f t="shared" si="23"/>
        <v>3</v>
      </c>
      <c r="BJ5" s="74"/>
      <c r="BK5" s="74"/>
      <c r="BL5" s="73" t="s">
        <v>217</v>
      </c>
      <c r="BM5" s="74"/>
      <c r="BN5" s="73" t="s">
        <v>218</v>
      </c>
      <c r="BO5" s="74"/>
      <c r="BP5" s="73" t="s">
        <v>217</v>
      </c>
      <c r="BQ5" s="74"/>
      <c r="BR5" s="74"/>
      <c r="BS5" s="74"/>
      <c r="BT5" s="74"/>
      <c r="BU5" s="74"/>
      <c r="BV5" s="74"/>
      <c r="BW5" s="74"/>
      <c r="BX5" s="73" t="s">
        <v>217</v>
      </c>
      <c r="BY5" s="73" t="s">
        <v>217</v>
      </c>
      <c r="BZ5" s="74"/>
      <c r="CA5" s="73" t="s">
        <v>217</v>
      </c>
      <c r="CB5" s="73" t="s">
        <v>217</v>
      </c>
      <c r="CC5" s="74"/>
      <c r="CD5" s="74"/>
      <c r="CE5" s="74"/>
      <c r="CF5" s="74"/>
      <c r="CG5" s="73" t="s">
        <v>217</v>
      </c>
      <c r="CH5" s="74"/>
      <c r="CI5" s="111" t="str">
        <f t="shared" si="69"/>
        <v/>
      </c>
      <c r="CJ5" s="74"/>
      <c r="CK5" s="74"/>
      <c r="CL5" s="74"/>
      <c r="CM5" s="73" t="s">
        <v>217</v>
      </c>
      <c r="CN5" s="73" t="s">
        <v>217</v>
      </c>
      <c r="CO5" s="74"/>
      <c r="CP5" s="74"/>
      <c r="CQ5" s="74"/>
      <c r="CY5" s="80" t="s">
        <v>217</v>
      </c>
      <c r="DG5" s="61">
        <f t="shared" si="24"/>
        <v>1</v>
      </c>
      <c r="DI5" s="80" t="s">
        <v>217</v>
      </c>
      <c r="DM5" s="61">
        <f t="shared" si="25"/>
        <v>1</v>
      </c>
      <c r="DO5" s="80" t="s">
        <v>217</v>
      </c>
      <c r="DP5" s="61" t="str">
        <f t="shared" si="26"/>
        <v/>
      </c>
      <c r="DQ5" s="61" t="str">
        <f t="shared" si="27"/>
        <v/>
      </c>
      <c r="DR5" s="61" t="str">
        <f t="shared" si="28"/>
        <v>FA</v>
      </c>
      <c r="DS5" s="73" t="s">
        <v>251</v>
      </c>
      <c r="DT5" s="74"/>
      <c r="DU5" s="74"/>
      <c r="DV5" s="73" t="s">
        <v>217</v>
      </c>
      <c r="DW5" s="74"/>
      <c r="DX5" s="74"/>
      <c r="DY5" s="110">
        <f t="shared" si="29"/>
        <v>2</v>
      </c>
      <c r="DZ5" s="74"/>
      <c r="EA5" s="74"/>
      <c r="EB5" s="73" t="s">
        <v>217</v>
      </c>
      <c r="EC5" s="74"/>
      <c r="ED5" s="74"/>
      <c r="EE5" s="110">
        <f t="shared" si="30"/>
        <v>1</v>
      </c>
      <c r="EF5" s="110" t="str">
        <f t="shared" si="70"/>
        <v>x</v>
      </c>
      <c r="EG5" s="61" t="str">
        <f t="shared" si="31"/>
        <v/>
      </c>
      <c r="EI5" s="80" t="s">
        <v>252</v>
      </c>
      <c r="EJ5" s="73" t="s">
        <v>217</v>
      </c>
      <c r="EK5" s="74"/>
      <c r="EL5" s="74"/>
      <c r="EM5" s="74"/>
      <c r="ES5" s="80" t="s">
        <v>253</v>
      </c>
      <c r="ET5" s="73">
        <v>4.0</v>
      </c>
      <c r="EU5" s="73" t="s">
        <v>217</v>
      </c>
      <c r="EV5" s="74"/>
      <c r="EW5" s="73" t="s">
        <v>217</v>
      </c>
      <c r="EX5" s="74"/>
      <c r="EY5" s="80" t="s">
        <v>254</v>
      </c>
      <c r="EZ5" s="80" t="s">
        <v>255</v>
      </c>
      <c r="FD5" s="80" t="s">
        <v>256</v>
      </c>
      <c r="FE5" s="97">
        <f t="shared" si="32"/>
        <v>1</v>
      </c>
      <c r="FF5" s="80">
        <v>1.0</v>
      </c>
      <c r="FG5" s="80">
        <v>1.0</v>
      </c>
      <c r="FH5" s="80">
        <v>0.5</v>
      </c>
      <c r="FI5" s="61">
        <f t="shared" si="71"/>
        <v>2.5</v>
      </c>
      <c r="FJ5" s="80">
        <v>1.0</v>
      </c>
      <c r="FK5" s="80">
        <v>0.0</v>
      </c>
      <c r="FL5" s="80" t="s">
        <v>189</v>
      </c>
      <c r="FM5" s="61" t="str">
        <f t="shared" si="72"/>
        <v>0.5</v>
      </c>
      <c r="FN5" s="61">
        <f t="shared" si="73"/>
        <v>1</v>
      </c>
      <c r="FP5" s="80" t="s">
        <v>217</v>
      </c>
      <c r="FQ5" s="61" t="str">
        <f t="shared" si="33"/>
        <v/>
      </c>
      <c r="FS5" s="80" t="s">
        <v>217</v>
      </c>
      <c r="FT5" s="61" t="str">
        <f t="shared" si="34"/>
        <v/>
      </c>
      <c r="FU5" s="61" t="str">
        <f t="shared" si="35"/>
        <v/>
      </c>
      <c r="FV5" s="74"/>
      <c r="FW5" s="80" t="s">
        <v>217</v>
      </c>
      <c r="FY5" s="80" t="s">
        <v>217</v>
      </c>
      <c r="GI5" s="80" t="s">
        <v>217</v>
      </c>
      <c r="GL5" s="80" t="s">
        <v>257</v>
      </c>
      <c r="GN5" s="80">
        <v>10.0</v>
      </c>
      <c r="GO5" s="80" t="s">
        <v>258</v>
      </c>
      <c r="GP5" s="112">
        <v>7120.0</v>
      </c>
      <c r="GQ5" s="80" t="s">
        <v>259</v>
      </c>
      <c r="GS5" s="80" t="s">
        <v>217</v>
      </c>
      <c r="GU5" s="61" t="str">
        <f t="shared" si="36"/>
        <v/>
      </c>
      <c r="GV5" s="61" t="str">
        <f t="shared" si="37"/>
        <v/>
      </c>
      <c r="GW5" s="61" t="str">
        <f t="shared" si="38"/>
        <v/>
      </c>
      <c r="GX5" s="61" t="str">
        <f t="shared" si="39"/>
        <v>x</v>
      </c>
      <c r="GY5" s="61" t="str">
        <f t="shared" si="40"/>
        <v/>
      </c>
      <c r="GZ5" s="61" t="str">
        <f t="shared" si="41"/>
        <v/>
      </c>
      <c r="HA5" s="61" t="str">
        <f t="shared" si="42"/>
        <v/>
      </c>
      <c r="HB5" s="61" t="str">
        <f t="shared" si="43"/>
        <v/>
      </c>
      <c r="HC5" s="61" t="str">
        <f t="shared" si="44"/>
        <v/>
      </c>
      <c r="HD5" s="61" t="str">
        <f t="shared" si="45"/>
        <v/>
      </c>
      <c r="HE5" s="61" t="str">
        <f t="shared" si="46"/>
        <v/>
      </c>
      <c r="HF5" s="61" t="str">
        <f t="shared" si="47"/>
        <v/>
      </c>
      <c r="HG5" s="61" t="str">
        <f t="shared" si="48"/>
        <v/>
      </c>
      <c r="HH5" s="61" t="str">
        <f t="shared" si="49"/>
        <v/>
      </c>
      <c r="HI5" s="61" t="str">
        <f t="shared" si="50"/>
        <v>x</v>
      </c>
      <c r="HJ5" s="61" t="str">
        <f t="shared" si="51"/>
        <v/>
      </c>
      <c r="HK5" s="61" t="str">
        <f t="shared" si="52"/>
        <v/>
      </c>
      <c r="HL5" s="61" t="str">
        <f t="shared" si="53"/>
        <v/>
      </c>
      <c r="HM5" s="61" t="str">
        <f t="shared" si="54"/>
        <v/>
      </c>
      <c r="HN5" s="61" t="str">
        <f t="shared" si="55"/>
        <v/>
      </c>
      <c r="HO5" s="61" t="str">
        <f t="shared" si="56"/>
        <v/>
      </c>
      <c r="HP5" s="61" t="str">
        <f t="shared" si="57"/>
        <v/>
      </c>
      <c r="HQ5" s="61" t="str">
        <f t="shared" si="58"/>
        <v/>
      </c>
      <c r="HR5" s="61" t="str">
        <f t="shared" si="59"/>
        <v>x</v>
      </c>
      <c r="HS5" s="61" t="str">
        <f t="shared" si="60"/>
        <v/>
      </c>
      <c r="HT5" s="61" t="str">
        <f t="shared" si="61"/>
        <v/>
      </c>
      <c r="HU5" s="61" t="str">
        <f t="shared" si="62"/>
        <v/>
      </c>
      <c r="HV5" s="61" t="str">
        <f t="shared" si="63"/>
        <v/>
      </c>
      <c r="HW5" s="61" t="str">
        <f t="shared" si="64"/>
        <v/>
      </c>
      <c r="HX5" s="61" t="str">
        <f t="shared" si="65"/>
        <v/>
      </c>
      <c r="HY5" s="61" t="str">
        <f t="shared" si="66"/>
        <v/>
      </c>
      <c r="HZ5" s="61" t="str">
        <f t="shared" si="67"/>
        <v/>
      </c>
    </row>
    <row r="6" ht="1.5" customHeight="1">
      <c r="A6" s="49" t="s">
        <v>260</v>
      </c>
      <c r="B6" s="80" t="s">
        <v>261</v>
      </c>
      <c r="C6" s="113" t="s">
        <v>262</v>
      </c>
      <c r="D6" s="80" t="s">
        <v>245</v>
      </c>
      <c r="E6" s="107">
        <f t="shared" si="3"/>
        <v>3</v>
      </c>
      <c r="F6" s="80" t="s">
        <v>209</v>
      </c>
      <c r="G6" s="80" t="s">
        <v>211</v>
      </c>
      <c r="H6" s="80">
        <v>2011.0</v>
      </c>
      <c r="J6" s="80" t="s">
        <v>263</v>
      </c>
      <c r="K6" s="61" t="str">
        <f t="shared" si="4"/>
        <v/>
      </c>
      <c r="L6" s="61" t="str">
        <f t="shared" si="5"/>
        <v/>
      </c>
      <c r="M6" s="61" t="str">
        <f t="shared" si="6"/>
        <v/>
      </c>
      <c r="N6" s="61" t="str">
        <f t="shared" si="7"/>
        <v/>
      </c>
      <c r="O6" s="61" t="str">
        <f t="shared" si="8"/>
        <v/>
      </c>
      <c r="P6" s="61">
        <f t="shared" si="9"/>
        <v>1</v>
      </c>
      <c r="Q6" s="61" t="b">
        <f t="shared" si="10"/>
        <v>1</v>
      </c>
      <c r="R6" s="61" t="b">
        <f t="shared" si="11"/>
        <v>1</v>
      </c>
      <c r="S6" s="80">
        <v>1.0</v>
      </c>
      <c r="T6" s="80">
        <v>1.0</v>
      </c>
      <c r="U6" s="80">
        <v>1.0</v>
      </c>
      <c r="V6" s="61" t="b">
        <f t="shared" si="12"/>
        <v>1</v>
      </c>
      <c r="W6" s="80">
        <v>1.0</v>
      </c>
      <c r="X6" s="80">
        <v>1.0</v>
      </c>
      <c r="Y6" s="80">
        <v>1.0</v>
      </c>
      <c r="Z6" s="80" t="s">
        <v>264</v>
      </c>
      <c r="AA6" s="61" t="str">
        <f t="shared" si="68"/>
        <v>Sprenkle:icst11, </v>
      </c>
      <c r="AB6" s="61" t="str">
        <f t="shared" si="13"/>
        <v/>
      </c>
      <c r="AC6" s="80" t="s">
        <v>265</v>
      </c>
      <c r="AD6" s="80" t="s">
        <v>266</v>
      </c>
      <c r="AF6" s="61">
        <f>countif('Charts-SLR'!A:A,AD6)</f>
        <v>1</v>
      </c>
      <c r="AG6" s="80" t="s">
        <v>267</v>
      </c>
      <c r="AH6" s="61">
        <f t="shared" si="14"/>
        <v>0</v>
      </c>
      <c r="AI6" s="80" t="s">
        <v>250</v>
      </c>
      <c r="AJ6" s="80">
        <v>1.0</v>
      </c>
      <c r="AK6" s="108">
        <f t="shared" si="15"/>
        <v>1</v>
      </c>
      <c r="AL6" s="61" t="str">
        <f t="shared" si="16"/>
        <v/>
      </c>
      <c r="AM6" s="61">
        <f t="shared" si="17"/>
        <v>1</v>
      </c>
      <c r="AN6" s="61" t="str">
        <f t="shared" si="18"/>
        <v/>
      </c>
      <c r="AO6" s="61" t="str">
        <f t="shared" si="19"/>
        <v/>
      </c>
      <c r="AP6" s="61" t="str">
        <f t="shared" si="20"/>
        <v/>
      </c>
      <c r="AQ6" s="61" t="str">
        <f t="shared" si="21"/>
        <v>Sprenkle:icst11, </v>
      </c>
      <c r="AR6" s="74"/>
      <c r="AS6" s="74"/>
      <c r="AT6" s="74"/>
      <c r="AU6" s="74"/>
      <c r="AV6" s="73" t="s">
        <v>217</v>
      </c>
      <c r="AW6" s="74"/>
      <c r="AX6" s="74"/>
      <c r="AY6" s="74"/>
      <c r="AZ6" s="74"/>
      <c r="BA6" s="74"/>
      <c r="BB6" s="109" t="str">
        <f t="shared" si="22"/>
        <v/>
      </c>
      <c r="BC6" s="74"/>
      <c r="BD6" s="74"/>
      <c r="BE6" s="74"/>
      <c r="BF6" s="74"/>
      <c r="BG6" s="74"/>
      <c r="BH6" s="73" t="s">
        <v>217</v>
      </c>
      <c r="BI6" s="110">
        <f t="shared" si="23"/>
        <v>1</v>
      </c>
      <c r="BJ6" s="74"/>
      <c r="BK6" s="74"/>
      <c r="BL6" s="74"/>
      <c r="BM6" s="74"/>
      <c r="BN6" s="74"/>
      <c r="BO6" s="74"/>
      <c r="BP6" s="74"/>
      <c r="BQ6" s="73" t="s">
        <v>217</v>
      </c>
      <c r="BR6" s="74"/>
      <c r="BS6" s="74"/>
      <c r="BT6" s="74"/>
      <c r="BU6" s="74"/>
      <c r="BV6" s="73" t="s">
        <v>217</v>
      </c>
      <c r="BW6" s="74"/>
      <c r="BX6" s="74"/>
      <c r="BY6" s="73" t="s">
        <v>217</v>
      </c>
      <c r="BZ6" s="74"/>
      <c r="CA6" s="74"/>
      <c r="CB6" s="74"/>
      <c r="CC6" s="74"/>
      <c r="CD6" s="74"/>
      <c r="CE6" s="74"/>
      <c r="CF6" s="74"/>
      <c r="CG6" s="74"/>
      <c r="CH6" s="73" t="s">
        <v>217</v>
      </c>
      <c r="CI6" s="111" t="str">
        <f t="shared" si="69"/>
        <v/>
      </c>
      <c r="CJ6" s="74"/>
      <c r="CK6" s="74"/>
      <c r="CL6" s="74"/>
      <c r="CM6" s="73" t="s">
        <v>217</v>
      </c>
      <c r="CN6" s="74"/>
      <c r="CO6" s="74"/>
      <c r="CP6" s="74"/>
      <c r="CQ6" s="74"/>
      <c r="CR6" s="80" t="s">
        <v>217</v>
      </c>
      <c r="DE6" s="80" t="s">
        <v>217</v>
      </c>
      <c r="DG6" s="61">
        <f t="shared" si="24"/>
        <v>1</v>
      </c>
      <c r="DH6" s="80" t="s">
        <v>217</v>
      </c>
      <c r="DM6" s="61">
        <f t="shared" si="25"/>
        <v>1</v>
      </c>
      <c r="DO6" s="80" t="s">
        <v>217</v>
      </c>
      <c r="DP6" s="61" t="str">
        <f t="shared" si="26"/>
        <v/>
      </c>
      <c r="DQ6" s="61" t="str">
        <f t="shared" si="27"/>
        <v/>
      </c>
      <c r="DR6" s="61" t="str">
        <f t="shared" si="28"/>
        <v>FA</v>
      </c>
      <c r="DS6" s="73" t="s">
        <v>268</v>
      </c>
      <c r="DT6" s="73" t="s">
        <v>269</v>
      </c>
      <c r="DU6" s="74"/>
      <c r="DV6" s="74"/>
      <c r="DW6" s="74"/>
      <c r="DX6" s="74"/>
      <c r="DY6" s="110">
        <f t="shared" si="29"/>
        <v>2</v>
      </c>
      <c r="DZ6" s="74"/>
      <c r="EA6" s="74"/>
      <c r="EB6" s="74"/>
      <c r="EC6" s="74"/>
      <c r="ED6" s="73" t="s">
        <v>217</v>
      </c>
      <c r="EE6" s="110">
        <f t="shared" si="30"/>
        <v>1</v>
      </c>
      <c r="EF6" s="110" t="str">
        <f t="shared" si="70"/>
        <v>x</v>
      </c>
      <c r="EG6" s="61" t="str">
        <f t="shared" si="31"/>
        <v/>
      </c>
      <c r="EI6" s="80" t="s">
        <v>270</v>
      </c>
      <c r="EJ6" s="73" t="s">
        <v>217</v>
      </c>
      <c r="EK6" s="74"/>
      <c r="EL6" s="74"/>
      <c r="EM6" s="74"/>
      <c r="ES6" s="80" t="s">
        <v>271</v>
      </c>
      <c r="ET6" s="73">
        <v>2.0</v>
      </c>
      <c r="EU6" s="74"/>
      <c r="EV6" s="74"/>
      <c r="EW6" s="74"/>
      <c r="EX6" s="74"/>
      <c r="EY6" s="80" t="s">
        <v>272</v>
      </c>
      <c r="EZ6" s="80" t="s">
        <v>273</v>
      </c>
      <c r="FD6" s="80" t="s">
        <v>274</v>
      </c>
      <c r="FE6" s="97">
        <f t="shared" si="32"/>
        <v>1</v>
      </c>
      <c r="FF6" s="80">
        <v>1.0</v>
      </c>
      <c r="FG6" s="80">
        <v>1.0</v>
      </c>
      <c r="FH6" s="80">
        <v>0.5</v>
      </c>
      <c r="FI6" s="61">
        <f t="shared" si="71"/>
        <v>2.5</v>
      </c>
      <c r="FJ6" s="80">
        <v>0.0</v>
      </c>
      <c r="FK6" s="80">
        <v>0.0</v>
      </c>
      <c r="FL6" s="80" t="s">
        <v>189</v>
      </c>
      <c r="FM6" s="61" t="str">
        <f t="shared" si="72"/>
        <v>1</v>
      </c>
      <c r="FN6" s="61">
        <f t="shared" si="73"/>
        <v>0</v>
      </c>
      <c r="FP6" s="80" t="s">
        <v>217</v>
      </c>
      <c r="FQ6" s="61" t="str">
        <f t="shared" si="33"/>
        <v/>
      </c>
      <c r="FR6" s="80" t="s">
        <v>217</v>
      </c>
      <c r="FT6" s="61" t="str">
        <f t="shared" si="34"/>
        <v/>
      </c>
      <c r="FU6" s="61" t="str">
        <f t="shared" si="35"/>
        <v/>
      </c>
      <c r="FV6" s="74"/>
      <c r="FZ6" s="80" t="s">
        <v>217</v>
      </c>
      <c r="GD6" s="80" t="s">
        <v>217</v>
      </c>
      <c r="GN6" s="80">
        <v>5.0</v>
      </c>
      <c r="GO6" s="80" t="s">
        <v>275</v>
      </c>
      <c r="GP6" s="112">
        <v>54876.0</v>
      </c>
      <c r="GQ6" s="80" t="s">
        <v>276</v>
      </c>
      <c r="GR6" s="80" t="s">
        <v>217</v>
      </c>
      <c r="GS6" s="80" t="s">
        <v>217</v>
      </c>
      <c r="GU6" s="61" t="str">
        <f t="shared" si="36"/>
        <v/>
      </c>
      <c r="GV6" s="61" t="str">
        <f t="shared" si="37"/>
        <v/>
      </c>
      <c r="GW6" s="61" t="str">
        <f t="shared" si="38"/>
        <v/>
      </c>
      <c r="GX6" s="61" t="str">
        <f t="shared" si="39"/>
        <v/>
      </c>
      <c r="GY6" s="61" t="str">
        <f t="shared" si="40"/>
        <v/>
      </c>
      <c r="GZ6" s="61" t="str">
        <f t="shared" si="41"/>
        <v/>
      </c>
      <c r="HA6" s="61" t="str">
        <f t="shared" si="42"/>
        <v/>
      </c>
      <c r="HB6" s="61" t="str">
        <f t="shared" si="43"/>
        <v/>
      </c>
      <c r="HC6" s="61" t="str">
        <f t="shared" si="44"/>
        <v/>
      </c>
      <c r="HD6" s="61" t="str">
        <f t="shared" si="45"/>
        <v/>
      </c>
      <c r="HE6" s="61" t="str">
        <f t="shared" si="46"/>
        <v/>
      </c>
      <c r="HF6" s="61" t="str">
        <f t="shared" si="47"/>
        <v/>
      </c>
      <c r="HG6" s="61" t="str">
        <f t="shared" si="48"/>
        <v/>
      </c>
      <c r="HH6" s="61" t="str">
        <f t="shared" si="49"/>
        <v/>
      </c>
      <c r="HI6" s="61" t="str">
        <f t="shared" si="50"/>
        <v/>
      </c>
      <c r="HJ6" s="61" t="str">
        <f t="shared" si="51"/>
        <v/>
      </c>
      <c r="HK6" s="61" t="str">
        <f t="shared" si="52"/>
        <v/>
      </c>
      <c r="HL6" s="61" t="str">
        <f t="shared" si="53"/>
        <v/>
      </c>
      <c r="HM6" s="61" t="str">
        <f t="shared" si="54"/>
        <v/>
      </c>
      <c r="HN6" s="61" t="str">
        <f t="shared" si="55"/>
        <v/>
      </c>
      <c r="HO6" s="61" t="str">
        <f t="shared" si="56"/>
        <v/>
      </c>
      <c r="HP6" s="61" t="str">
        <f t="shared" si="57"/>
        <v/>
      </c>
      <c r="HQ6" s="61" t="str">
        <f t="shared" si="58"/>
        <v/>
      </c>
      <c r="HR6" s="61" t="str">
        <f t="shared" si="59"/>
        <v/>
      </c>
      <c r="HS6" s="61" t="str">
        <f t="shared" si="60"/>
        <v/>
      </c>
      <c r="HT6" s="61" t="str">
        <f t="shared" si="61"/>
        <v/>
      </c>
      <c r="HU6" s="61" t="str">
        <f t="shared" si="62"/>
        <v/>
      </c>
      <c r="HV6" s="61" t="str">
        <f t="shared" si="63"/>
        <v/>
      </c>
      <c r="HW6" s="61" t="str">
        <f t="shared" si="64"/>
        <v/>
      </c>
      <c r="HX6" s="61" t="str">
        <f t="shared" si="65"/>
        <v/>
      </c>
      <c r="HY6" s="61" t="str">
        <f t="shared" si="66"/>
        <v/>
      </c>
      <c r="HZ6" s="61" t="str">
        <f t="shared" si="67"/>
        <v/>
      </c>
    </row>
    <row r="7" ht="1.5" customHeight="1">
      <c r="A7" s="49" t="s">
        <v>277</v>
      </c>
      <c r="B7" s="114" t="s">
        <v>278</v>
      </c>
      <c r="C7" s="113" t="s">
        <v>279</v>
      </c>
      <c r="D7" s="80" t="s">
        <v>209</v>
      </c>
      <c r="E7" s="107">
        <f t="shared" si="3"/>
        <v>2</v>
      </c>
      <c r="F7" s="80" t="s">
        <v>210</v>
      </c>
      <c r="G7" s="80" t="s">
        <v>211</v>
      </c>
      <c r="H7" s="80">
        <v>2010.0</v>
      </c>
      <c r="J7" s="80" t="s">
        <v>280</v>
      </c>
      <c r="K7" s="61">
        <f t="shared" si="4"/>
        <v>1</v>
      </c>
      <c r="L7" s="61" t="str">
        <f t="shared" si="5"/>
        <v/>
      </c>
      <c r="M7" s="61" t="str">
        <f t="shared" si="6"/>
        <v/>
      </c>
      <c r="N7" s="61" t="str">
        <f t="shared" si="7"/>
        <v/>
      </c>
      <c r="O7" s="61" t="str">
        <f t="shared" si="8"/>
        <v/>
      </c>
      <c r="P7" s="61" t="str">
        <f t="shared" si="9"/>
        <v/>
      </c>
      <c r="Q7" s="61" t="b">
        <f t="shared" si="10"/>
        <v>1</v>
      </c>
      <c r="R7" s="61" t="b">
        <f t="shared" si="11"/>
        <v>1</v>
      </c>
      <c r="S7" s="80">
        <v>1.0</v>
      </c>
      <c r="T7" s="80">
        <v>1.0</v>
      </c>
      <c r="U7" s="80">
        <v>1.0</v>
      </c>
      <c r="V7" s="61" t="b">
        <f t="shared" si="12"/>
        <v>1</v>
      </c>
      <c r="W7" s="80">
        <v>1.0</v>
      </c>
      <c r="X7" s="80">
        <v>0.0</v>
      </c>
      <c r="Y7" s="80">
        <v>1.0</v>
      </c>
      <c r="Z7" s="115" t="s">
        <v>281</v>
      </c>
      <c r="AA7" s="61" t="str">
        <f t="shared" si="68"/>
        <v/>
      </c>
      <c r="AB7" s="61" t="str">
        <f t="shared" si="13"/>
        <v>Saxena:sp10, </v>
      </c>
      <c r="AC7" s="80" t="s">
        <v>282</v>
      </c>
      <c r="AD7" s="80" t="s">
        <v>266</v>
      </c>
      <c r="AF7" s="61">
        <f>countif('Charts-SLR'!A:A,AD7)</f>
        <v>1</v>
      </c>
      <c r="AG7" s="80" t="s">
        <v>283</v>
      </c>
      <c r="AH7" s="61">
        <f t="shared" si="14"/>
        <v>0</v>
      </c>
      <c r="AI7" s="80" t="s">
        <v>268</v>
      </c>
      <c r="AJ7" s="80">
        <v>45.0</v>
      </c>
      <c r="AK7" s="108">
        <f t="shared" si="15"/>
        <v>22.5</v>
      </c>
      <c r="AL7" s="61" t="str">
        <f t="shared" si="16"/>
        <v/>
      </c>
      <c r="AM7" s="61" t="str">
        <f t="shared" si="17"/>
        <v/>
      </c>
      <c r="AN7" s="61" t="str">
        <f t="shared" si="18"/>
        <v/>
      </c>
      <c r="AO7" s="61" t="str">
        <f t="shared" si="19"/>
        <v/>
      </c>
      <c r="AP7" s="61">
        <f t="shared" si="20"/>
        <v>45</v>
      </c>
      <c r="AQ7" s="61" t="str">
        <f t="shared" si="21"/>
        <v/>
      </c>
      <c r="AR7" s="74"/>
      <c r="AS7" s="74"/>
      <c r="AT7" s="73" t="s">
        <v>221</v>
      </c>
      <c r="AU7" s="74"/>
      <c r="AV7" s="74"/>
      <c r="AW7" s="74"/>
      <c r="AX7" s="74"/>
      <c r="AY7" s="74"/>
      <c r="AZ7" s="73" t="s">
        <v>217</v>
      </c>
      <c r="BA7" s="74"/>
      <c r="BB7" s="109" t="str">
        <f t="shared" si="22"/>
        <v/>
      </c>
      <c r="BC7" s="73" t="s">
        <v>217</v>
      </c>
      <c r="BD7" s="73" t="s">
        <v>217</v>
      </c>
      <c r="BE7" s="74"/>
      <c r="BF7" s="74"/>
      <c r="BG7" s="74"/>
      <c r="BH7" s="74"/>
      <c r="BI7" s="110">
        <f t="shared" si="23"/>
        <v>2</v>
      </c>
      <c r="BJ7" s="74"/>
      <c r="BK7" s="74"/>
      <c r="BL7" s="74"/>
      <c r="BM7" s="74"/>
      <c r="BN7" s="74"/>
      <c r="BO7" s="74"/>
      <c r="BP7" s="73" t="s">
        <v>217</v>
      </c>
      <c r="BQ7" s="74"/>
      <c r="BR7" s="74"/>
      <c r="BS7" s="74"/>
      <c r="BT7" s="74"/>
      <c r="BU7" s="74"/>
      <c r="BV7" s="74"/>
      <c r="BW7" s="73" t="s">
        <v>217</v>
      </c>
      <c r="BX7" s="73" t="s">
        <v>217</v>
      </c>
      <c r="BY7" s="74"/>
      <c r="BZ7" s="74"/>
      <c r="CA7" s="74"/>
      <c r="CB7" s="74"/>
      <c r="CC7" s="74"/>
      <c r="CD7" s="74"/>
      <c r="CE7" s="74"/>
      <c r="CF7" s="74"/>
      <c r="CG7" s="73" t="s">
        <v>217</v>
      </c>
      <c r="CH7" s="74"/>
      <c r="CI7" s="111" t="str">
        <f t="shared" si="69"/>
        <v/>
      </c>
      <c r="CJ7" s="74"/>
      <c r="CK7" s="74"/>
      <c r="CL7" s="74"/>
      <c r="CM7" s="74"/>
      <c r="CN7" s="73" t="s">
        <v>217</v>
      </c>
      <c r="CO7" s="74"/>
      <c r="CP7" s="74"/>
      <c r="CQ7" s="74"/>
      <c r="CW7" s="80" t="s">
        <v>217</v>
      </c>
      <c r="DG7" s="61">
        <f t="shared" si="24"/>
        <v>1</v>
      </c>
      <c r="DM7" s="61">
        <f t="shared" si="25"/>
        <v>0</v>
      </c>
      <c r="DO7" s="80" t="s">
        <v>217</v>
      </c>
      <c r="DP7" s="61" t="str">
        <f t="shared" si="26"/>
        <v/>
      </c>
      <c r="DQ7" s="61" t="str">
        <f t="shared" si="27"/>
        <v/>
      </c>
      <c r="DR7" s="61" t="str">
        <f t="shared" si="28"/>
        <v>FA</v>
      </c>
      <c r="DS7" s="73" t="s">
        <v>268</v>
      </c>
      <c r="DU7" s="73" t="s">
        <v>284</v>
      </c>
      <c r="DV7" s="74"/>
      <c r="DW7" s="73" t="s">
        <v>217</v>
      </c>
      <c r="DX7" s="74"/>
      <c r="DY7" s="110">
        <f t="shared" si="29"/>
        <v>3</v>
      </c>
      <c r="DZ7" s="74"/>
      <c r="EA7" s="73" t="s">
        <v>217</v>
      </c>
      <c r="EB7" s="74"/>
      <c r="EC7" s="74"/>
      <c r="ED7" s="74"/>
      <c r="EE7" s="110">
        <f t="shared" si="30"/>
        <v>1</v>
      </c>
      <c r="EF7" s="110" t="str">
        <f t="shared" si="70"/>
        <v>x</v>
      </c>
      <c r="EG7" s="61" t="str">
        <f t="shared" si="31"/>
        <v/>
      </c>
      <c r="EI7" s="80" t="s">
        <v>285</v>
      </c>
      <c r="EJ7" s="74"/>
      <c r="EK7" s="73" t="s">
        <v>217</v>
      </c>
      <c r="EL7" s="74"/>
      <c r="EM7" s="74"/>
      <c r="ES7" s="80" t="s">
        <v>286</v>
      </c>
      <c r="ET7" s="73">
        <v>2.0</v>
      </c>
      <c r="EU7" s="73" t="s">
        <v>217</v>
      </c>
      <c r="EV7" s="74"/>
      <c r="EW7" s="74"/>
      <c r="EX7" s="74"/>
      <c r="EY7" s="80" t="s">
        <v>287</v>
      </c>
      <c r="EZ7" s="80" t="s">
        <v>288</v>
      </c>
      <c r="FE7" s="97">
        <f t="shared" si="32"/>
        <v>0</v>
      </c>
      <c r="FF7" s="80">
        <v>0.5</v>
      </c>
      <c r="FG7" s="80">
        <v>0.5</v>
      </c>
      <c r="FH7" s="80">
        <v>0.0</v>
      </c>
      <c r="FI7" s="61">
        <f t="shared" si="71"/>
        <v>1</v>
      </c>
      <c r="FJ7" s="80">
        <v>0.0</v>
      </c>
      <c r="FK7" s="80">
        <v>0.0</v>
      </c>
      <c r="FL7" s="80" t="s">
        <v>189</v>
      </c>
      <c r="FM7" s="61" t="str">
        <f t="shared" si="72"/>
        <v>0</v>
      </c>
      <c r="FN7" s="61">
        <f t="shared" si="73"/>
        <v>0</v>
      </c>
      <c r="FP7" s="80" t="s">
        <v>217</v>
      </c>
      <c r="FQ7" s="61" t="str">
        <f t="shared" si="33"/>
        <v/>
      </c>
      <c r="FR7" s="80" t="s">
        <v>217</v>
      </c>
      <c r="FT7" s="61" t="str">
        <f t="shared" si="34"/>
        <v/>
      </c>
      <c r="FU7" s="61" t="str">
        <f t="shared" si="35"/>
        <v/>
      </c>
      <c r="FV7" s="74"/>
      <c r="FY7" s="80" t="s">
        <v>217</v>
      </c>
      <c r="GI7" s="80" t="s">
        <v>217</v>
      </c>
      <c r="GL7" s="80" t="s">
        <v>289</v>
      </c>
      <c r="GN7" s="80">
        <v>18.0</v>
      </c>
      <c r="GO7" s="80" t="s">
        <v>290</v>
      </c>
      <c r="GP7" s="116"/>
      <c r="GS7" s="80" t="s">
        <v>217</v>
      </c>
      <c r="GT7" s="80" t="s">
        <v>217</v>
      </c>
      <c r="GU7" s="61" t="str">
        <f t="shared" si="36"/>
        <v/>
      </c>
      <c r="GV7" s="61" t="str">
        <f t="shared" si="37"/>
        <v>x</v>
      </c>
      <c r="GW7" s="61" t="str">
        <f t="shared" si="38"/>
        <v/>
      </c>
      <c r="GX7" s="61" t="str">
        <f t="shared" si="39"/>
        <v/>
      </c>
      <c r="GY7" s="61" t="str">
        <f t="shared" si="40"/>
        <v/>
      </c>
      <c r="GZ7" s="61" t="str">
        <f t="shared" si="41"/>
        <v/>
      </c>
      <c r="HA7" s="61" t="str">
        <f t="shared" si="42"/>
        <v/>
      </c>
      <c r="HB7" s="61" t="str">
        <f t="shared" si="43"/>
        <v/>
      </c>
      <c r="HC7" s="61" t="str">
        <f t="shared" si="44"/>
        <v/>
      </c>
      <c r="HD7" s="61" t="str">
        <f t="shared" si="45"/>
        <v/>
      </c>
      <c r="HE7" s="61" t="str">
        <f t="shared" si="46"/>
        <v/>
      </c>
      <c r="HF7" s="61" t="str">
        <f t="shared" si="47"/>
        <v/>
      </c>
      <c r="HG7" s="61" t="str">
        <f t="shared" si="48"/>
        <v/>
      </c>
      <c r="HH7" s="61" t="str">
        <f t="shared" si="49"/>
        <v/>
      </c>
      <c r="HI7" s="61" t="str">
        <f t="shared" si="50"/>
        <v/>
      </c>
      <c r="HJ7" s="61" t="str">
        <f t="shared" si="51"/>
        <v/>
      </c>
      <c r="HK7" s="61" t="str">
        <f t="shared" si="52"/>
        <v/>
      </c>
      <c r="HL7" s="61" t="str">
        <f t="shared" si="53"/>
        <v/>
      </c>
      <c r="HM7" s="61" t="str">
        <f t="shared" si="54"/>
        <v/>
      </c>
      <c r="HN7" s="61" t="str">
        <f t="shared" si="55"/>
        <v/>
      </c>
      <c r="HO7" s="61" t="str">
        <f t="shared" si="56"/>
        <v/>
      </c>
      <c r="HP7" s="61" t="str">
        <f t="shared" si="57"/>
        <v/>
      </c>
      <c r="HQ7" s="61" t="str">
        <f t="shared" si="58"/>
        <v/>
      </c>
      <c r="HR7" s="61" t="str">
        <f t="shared" si="59"/>
        <v/>
      </c>
      <c r="HS7" s="61" t="str">
        <f t="shared" si="60"/>
        <v/>
      </c>
      <c r="HT7" s="61" t="str">
        <f t="shared" si="61"/>
        <v/>
      </c>
      <c r="HU7" s="61" t="str">
        <f t="shared" si="62"/>
        <v/>
      </c>
      <c r="HV7" s="61" t="str">
        <f t="shared" si="63"/>
        <v/>
      </c>
      <c r="HW7" s="61" t="str">
        <f t="shared" si="64"/>
        <v/>
      </c>
      <c r="HX7" s="61" t="str">
        <f t="shared" si="65"/>
        <v/>
      </c>
      <c r="HY7" s="61" t="str">
        <f t="shared" si="66"/>
        <v>x</v>
      </c>
      <c r="HZ7" s="61" t="str">
        <f t="shared" si="67"/>
        <v/>
      </c>
    </row>
    <row r="8" ht="1.5" customHeight="1">
      <c r="A8" s="49" t="s">
        <v>291</v>
      </c>
      <c r="B8" s="95" t="s">
        <v>292</v>
      </c>
      <c r="C8" s="117" t="s">
        <v>293</v>
      </c>
      <c r="D8" s="95" t="s">
        <v>209</v>
      </c>
      <c r="E8" s="96" t="str">
        <f t="shared" si="3"/>
        <v/>
      </c>
      <c r="F8" s="95" t="s">
        <v>210</v>
      </c>
      <c r="G8" s="95" t="s">
        <v>227</v>
      </c>
      <c r="H8" s="95">
        <v>2006.0</v>
      </c>
      <c r="I8" s="7"/>
      <c r="J8" s="95" t="s">
        <v>294</v>
      </c>
      <c r="K8" s="97">
        <f t="shared" si="4"/>
        <v>1</v>
      </c>
      <c r="L8" s="97" t="str">
        <f t="shared" si="5"/>
        <v/>
      </c>
      <c r="M8" s="97" t="str">
        <f t="shared" si="6"/>
        <v/>
      </c>
      <c r="N8" s="97" t="str">
        <f t="shared" si="7"/>
        <v/>
      </c>
      <c r="O8" s="97" t="str">
        <f t="shared" si="8"/>
        <v/>
      </c>
      <c r="P8" s="97" t="str">
        <f t="shared" si="9"/>
        <v/>
      </c>
      <c r="Q8" s="97" t="b">
        <f t="shared" si="10"/>
        <v>1</v>
      </c>
      <c r="R8" s="97" t="b">
        <f t="shared" si="11"/>
        <v>1</v>
      </c>
      <c r="S8" s="95">
        <v>1.0</v>
      </c>
      <c r="T8" s="95">
        <v>1.0</v>
      </c>
      <c r="U8" s="95">
        <v>1.0</v>
      </c>
      <c r="V8" s="97" t="b">
        <f t="shared" si="12"/>
        <v>1</v>
      </c>
      <c r="W8" s="95">
        <v>1.0</v>
      </c>
      <c r="X8" s="95">
        <v>1.0</v>
      </c>
      <c r="Y8" s="95">
        <v>1.0</v>
      </c>
      <c r="Z8" s="7"/>
      <c r="AA8" s="97" t="str">
        <f t="shared" si="68"/>
        <v/>
      </c>
      <c r="AB8" s="97" t="str">
        <f t="shared" si="13"/>
        <v/>
      </c>
      <c r="AC8" s="95" t="s">
        <v>295</v>
      </c>
      <c r="AD8" s="95" t="s">
        <v>214</v>
      </c>
      <c r="AE8" s="7"/>
      <c r="AF8" s="97">
        <f>countif('Charts-SLR'!A:A,AD8)</f>
        <v>1</v>
      </c>
      <c r="AG8" s="95" t="s">
        <v>215</v>
      </c>
      <c r="AH8" s="97">
        <f t="shared" si="14"/>
        <v>0</v>
      </c>
      <c r="AI8" s="95" t="s">
        <v>216</v>
      </c>
      <c r="AJ8" s="95">
        <v>6.0</v>
      </c>
      <c r="AK8" s="99">
        <f t="shared" si="15"/>
        <v>1</v>
      </c>
      <c r="AL8" s="97" t="str">
        <f t="shared" si="16"/>
        <v/>
      </c>
      <c r="AM8" s="97" t="str">
        <f t="shared" si="17"/>
        <v/>
      </c>
      <c r="AN8" s="97">
        <f t="shared" si="18"/>
        <v>6</v>
      </c>
      <c r="AO8" s="97" t="str">
        <f t="shared" si="19"/>
        <v/>
      </c>
      <c r="AP8" s="97" t="str">
        <f t="shared" si="20"/>
        <v/>
      </c>
      <c r="AQ8" s="97" t="str">
        <f t="shared" si="21"/>
        <v/>
      </c>
      <c r="AR8" s="100"/>
      <c r="AS8" s="100"/>
      <c r="AT8" s="100"/>
      <c r="AU8" s="100"/>
      <c r="AV8" s="100"/>
      <c r="AW8" s="100"/>
      <c r="AX8" s="100"/>
      <c r="AY8" s="100"/>
      <c r="AZ8" s="100"/>
      <c r="BA8" s="100"/>
      <c r="BB8" s="101" t="str">
        <f t="shared" si="22"/>
        <v>ERR</v>
      </c>
      <c r="BC8" s="100"/>
      <c r="BD8" s="100"/>
      <c r="BE8" s="100"/>
      <c r="BF8" s="102" t="s">
        <v>217</v>
      </c>
      <c r="BG8" s="100"/>
      <c r="BH8" s="100"/>
      <c r="BI8" s="103">
        <f t="shared" si="23"/>
        <v>1</v>
      </c>
      <c r="BJ8" s="100"/>
      <c r="BK8" s="100"/>
      <c r="BL8" s="100"/>
      <c r="BM8" s="100"/>
      <c r="BN8" s="100"/>
      <c r="BO8" s="102" t="s">
        <v>217</v>
      </c>
      <c r="BP8" s="100"/>
      <c r="BQ8" s="100"/>
      <c r="BR8" s="100"/>
      <c r="BS8" s="100"/>
      <c r="BT8" s="100"/>
      <c r="BU8" s="74"/>
      <c r="BV8" s="102" t="s">
        <v>217</v>
      </c>
      <c r="BW8" s="100"/>
      <c r="BX8" s="100"/>
      <c r="BY8" s="102" t="s">
        <v>217</v>
      </c>
      <c r="BZ8" s="100"/>
      <c r="CA8" s="102" t="s">
        <v>217</v>
      </c>
      <c r="CB8" s="100"/>
      <c r="CC8" s="100"/>
      <c r="CD8" s="102" t="s">
        <v>217</v>
      </c>
      <c r="CE8" s="100"/>
      <c r="CF8" s="74"/>
      <c r="CG8" s="100"/>
      <c r="CH8" s="102" t="s">
        <v>217</v>
      </c>
      <c r="CI8" s="103" t="str">
        <f t="shared" si="69"/>
        <v/>
      </c>
      <c r="CJ8" s="100"/>
      <c r="CK8" s="100"/>
      <c r="CL8" s="100"/>
      <c r="CM8" s="102" t="s">
        <v>217</v>
      </c>
      <c r="CN8" s="100"/>
      <c r="CO8" s="100"/>
      <c r="CP8" s="100"/>
      <c r="CQ8" s="100"/>
      <c r="CR8" s="95" t="s">
        <v>217</v>
      </c>
      <c r="CS8" s="7"/>
      <c r="CT8" s="7"/>
      <c r="CU8" s="7"/>
      <c r="CV8" s="7"/>
      <c r="CW8" s="7"/>
      <c r="CX8" s="7"/>
      <c r="CY8" s="7"/>
      <c r="CZ8" s="7"/>
      <c r="DA8" s="7"/>
      <c r="DB8" s="7"/>
      <c r="DC8" s="7"/>
      <c r="DD8" s="7"/>
      <c r="DE8" s="7"/>
      <c r="DF8" s="95" t="s">
        <v>217</v>
      </c>
      <c r="DG8" s="97">
        <f t="shared" si="24"/>
        <v>1</v>
      </c>
      <c r="DH8" s="95" t="s">
        <v>217</v>
      </c>
      <c r="DI8" s="7"/>
      <c r="DJ8" s="7"/>
      <c r="DK8" s="7"/>
      <c r="DL8" s="7"/>
      <c r="DM8" s="97">
        <f t="shared" si="25"/>
        <v>1</v>
      </c>
      <c r="DN8" s="7"/>
      <c r="DO8" s="95" t="s">
        <v>217</v>
      </c>
      <c r="DP8" s="97" t="str">
        <f t="shared" si="26"/>
        <v/>
      </c>
      <c r="DQ8" s="97" t="str">
        <f t="shared" si="27"/>
        <v/>
      </c>
      <c r="DR8" s="97" t="str">
        <f t="shared" si="28"/>
        <v>FA</v>
      </c>
      <c r="DS8" s="102" t="s">
        <v>268</v>
      </c>
      <c r="DT8" s="100"/>
      <c r="DU8" s="100"/>
      <c r="DV8" s="100"/>
      <c r="DW8" s="100"/>
      <c r="DX8" s="100"/>
      <c r="DY8" s="103">
        <f t="shared" si="29"/>
        <v>1</v>
      </c>
      <c r="DZ8" s="100"/>
      <c r="EA8" s="100"/>
      <c r="EB8" s="100"/>
      <c r="EC8" s="100"/>
      <c r="ED8" s="100"/>
      <c r="EE8" s="103">
        <f t="shared" si="30"/>
        <v>0</v>
      </c>
      <c r="EF8" s="103" t="str">
        <f t="shared" si="70"/>
        <v/>
      </c>
      <c r="EG8" s="97" t="str">
        <f t="shared" si="31"/>
        <v/>
      </c>
      <c r="EH8" s="7"/>
      <c r="EI8" s="7"/>
      <c r="EJ8" s="100"/>
      <c r="EK8" s="100"/>
      <c r="EL8" s="100"/>
      <c r="EM8" s="100"/>
      <c r="EN8" s="7"/>
      <c r="EO8" s="7"/>
      <c r="EP8" s="7"/>
      <c r="EQ8" s="7"/>
      <c r="ER8" s="7"/>
      <c r="ES8" s="7"/>
      <c r="ET8" s="100"/>
      <c r="EU8" s="100"/>
      <c r="EV8" s="100"/>
      <c r="EW8" s="100"/>
      <c r="EX8" s="100"/>
      <c r="EY8" s="7"/>
      <c r="EZ8" s="7"/>
      <c r="FA8" s="7"/>
      <c r="FB8" s="7"/>
      <c r="FC8" s="7"/>
      <c r="FD8" s="7"/>
      <c r="FE8" s="97" t="str">
        <f t="shared" si="32"/>
        <v/>
      </c>
      <c r="FF8" s="7"/>
      <c r="FG8" s="7"/>
      <c r="FH8" s="7"/>
      <c r="FI8" s="7"/>
      <c r="FJ8" s="7"/>
      <c r="FK8" s="7"/>
      <c r="FL8" s="7"/>
      <c r="FM8" s="7"/>
      <c r="FN8" s="7"/>
      <c r="FO8" s="7"/>
      <c r="FP8" s="95" t="s">
        <v>217</v>
      </c>
      <c r="FQ8" s="97" t="str">
        <f t="shared" si="33"/>
        <v/>
      </c>
      <c r="FR8" s="95" t="s">
        <v>217</v>
      </c>
      <c r="FS8" s="7"/>
      <c r="FT8" s="97" t="str">
        <f t="shared" si="34"/>
        <v/>
      </c>
      <c r="FU8" s="97" t="str">
        <f t="shared" si="35"/>
        <v/>
      </c>
      <c r="FV8" s="100"/>
      <c r="FW8" s="7"/>
      <c r="FX8" s="7"/>
      <c r="FY8" s="7"/>
      <c r="FZ8" s="95" t="s">
        <v>217</v>
      </c>
      <c r="GA8" s="7"/>
      <c r="GB8" s="7"/>
      <c r="GC8" s="95" t="s">
        <v>217</v>
      </c>
      <c r="GD8" s="7"/>
      <c r="GE8" s="7"/>
      <c r="GF8" s="7"/>
      <c r="GG8" s="7"/>
      <c r="GH8" s="7"/>
      <c r="GI8" s="7"/>
      <c r="GJ8" s="7"/>
      <c r="GK8" s="7"/>
      <c r="GL8" s="7"/>
      <c r="GM8" s="7"/>
      <c r="GN8" s="95">
        <v>1.0</v>
      </c>
      <c r="GO8" s="95" t="s">
        <v>296</v>
      </c>
      <c r="GP8" s="105">
        <v>9748.0</v>
      </c>
      <c r="GQ8" s="95" t="s">
        <v>297</v>
      </c>
      <c r="GR8" s="7"/>
      <c r="GS8" s="95" t="s">
        <v>217</v>
      </c>
      <c r="GT8" s="7"/>
      <c r="GU8" s="61" t="str">
        <f t="shared" si="36"/>
        <v/>
      </c>
      <c r="GV8" s="61" t="str">
        <f t="shared" si="37"/>
        <v/>
      </c>
      <c r="GW8" s="61" t="str">
        <f t="shared" si="38"/>
        <v/>
      </c>
      <c r="GX8" s="61" t="str">
        <f t="shared" si="39"/>
        <v/>
      </c>
      <c r="GY8" s="61" t="str">
        <f t="shared" si="40"/>
        <v/>
      </c>
      <c r="GZ8" s="61" t="str">
        <f t="shared" si="41"/>
        <v/>
      </c>
      <c r="HA8" s="61" t="str">
        <f t="shared" si="42"/>
        <v/>
      </c>
      <c r="HB8" s="61" t="str">
        <f t="shared" si="43"/>
        <v/>
      </c>
      <c r="HC8" s="61" t="str">
        <f t="shared" si="44"/>
        <v/>
      </c>
      <c r="HD8" s="61" t="str">
        <f t="shared" si="45"/>
        <v/>
      </c>
      <c r="HE8" s="61" t="str">
        <f t="shared" si="46"/>
        <v/>
      </c>
      <c r="HF8" s="61" t="str">
        <f t="shared" si="47"/>
        <v/>
      </c>
      <c r="HG8" s="61" t="str">
        <f t="shared" si="48"/>
        <v/>
      </c>
      <c r="HH8" s="61" t="str">
        <f t="shared" si="49"/>
        <v/>
      </c>
      <c r="HI8" s="61" t="str">
        <f t="shared" si="50"/>
        <v/>
      </c>
      <c r="HJ8" s="61" t="str">
        <f t="shared" si="51"/>
        <v/>
      </c>
      <c r="HK8" s="61" t="str">
        <f t="shared" si="52"/>
        <v/>
      </c>
      <c r="HL8" s="61" t="str">
        <f t="shared" si="53"/>
        <v/>
      </c>
      <c r="HM8" s="61" t="str">
        <f t="shared" si="54"/>
        <v/>
      </c>
      <c r="HN8" s="61" t="str">
        <f t="shared" si="55"/>
        <v/>
      </c>
      <c r="HO8" s="61" t="str">
        <f t="shared" si="56"/>
        <v/>
      </c>
      <c r="HP8" s="61" t="str">
        <f t="shared" si="57"/>
        <v/>
      </c>
      <c r="HQ8" s="61" t="str">
        <f t="shared" si="58"/>
        <v/>
      </c>
      <c r="HR8" s="61" t="str">
        <f t="shared" si="59"/>
        <v/>
      </c>
      <c r="HS8" s="61" t="str">
        <f t="shared" si="60"/>
        <v/>
      </c>
      <c r="HT8" s="61" t="str">
        <f t="shared" si="61"/>
        <v/>
      </c>
      <c r="HU8" s="61" t="str">
        <f t="shared" si="62"/>
        <v/>
      </c>
      <c r="HV8" s="61" t="str">
        <f t="shared" si="63"/>
        <v/>
      </c>
      <c r="HW8" s="61" t="str">
        <f t="shared" si="64"/>
        <v/>
      </c>
      <c r="HX8" s="61" t="str">
        <f t="shared" si="65"/>
        <v/>
      </c>
      <c r="HY8" s="61" t="str">
        <f t="shared" si="66"/>
        <v/>
      </c>
      <c r="HZ8" s="61" t="str">
        <f t="shared" si="67"/>
        <v/>
      </c>
    </row>
    <row r="9" ht="15.0" customHeight="1">
      <c r="A9" s="49" t="s">
        <v>298</v>
      </c>
      <c r="B9" s="87" t="s">
        <v>299</v>
      </c>
      <c r="C9" s="118" t="s">
        <v>300</v>
      </c>
      <c r="D9" s="95" t="s">
        <v>301</v>
      </c>
      <c r="E9" s="96" t="str">
        <f t="shared" si="3"/>
        <v/>
      </c>
      <c r="F9" s="95" t="s">
        <v>209</v>
      </c>
      <c r="G9" s="95" t="s">
        <v>217</v>
      </c>
      <c r="H9" s="95">
        <v>2013.0</v>
      </c>
      <c r="I9" s="7"/>
      <c r="J9" s="95" t="s">
        <v>302</v>
      </c>
      <c r="K9" s="7"/>
      <c r="L9" s="7"/>
      <c r="M9" s="7"/>
      <c r="N9" s="7"/>
      <c r="O9" s="7"/>
      <c r="P9" s="7"/>
      <c r="Q9" s="97" t="b">
        <f t="shared" si="10"/>
        <v>1</v>
      </c>
      <c r="R9" s="97" t="b">
        <f>if(AVERAGE(S9:U9)&gt;=5, TRUE, FALSE)</f>
        <v>1</v>
      </c>
      <c r="S9" s="95">
        <v>9.0</v>
      </c>
      <c r="T9" s="95">
        <v>8.0</v>
      </c>
      <c r="U9" s="95">
        <v>8.0</v>
      </c>
      <c r="V9" s="97" t="b">
        <f>if(AVERAGE(W9:Y9)&gt;=5, TRUE, FALSE)</f>
        <v>1</v>
      </c>
      <c r="W9" s="95">
        <v>7.0</v>
      </c>
      <c r="X9" s="95">
        <v>8.0</v>
      </c>
      <c r="Y9" s="95">
        <v>7.0</v>
      </c>
      <c r="Z9" s="119"/>
      <c r="AA9" s="7"/>
      <c r="AB9" s="7"/>
      <c r="AC9" s="120"/>
      <c r="AD9" s="7"/>
      <c r="AE9" s="7"/>
      <c r="AF9" s="7"/>
      <c r="AG9" s="7"/>
      <c r="AH9" s="7"/>
      <c r="AI9" s="7"/>
      <c r="AJ9" s="7"/>
      <c r="AK9" s="7"/>
      <c r="AL9" s="7"/>
      <c r="AM9" s="7"/>
      <c r="AN9" s="7"/>
      <c r="AO9" s="7"/>
      <c r="AP9" s="7"/>
      <c r="AQ9" s="7"/>
      <c r="AR9" s="100"/>
      <c r="AS9" s="100"/>
      <c r="AT9" s="100"/>
      <c r="AU9" s="100"/>
      <c r="AV9" s="100"/>
      <c r="AW9" s="100"/>
      <c r="AX9" s="100"/>
      <c r="AY9" s="100"/>
      <c r="AZ9" s="100"/>
      <c r="BA9" s="100"/>
      <c r="BB9" s="101" t="str">
        <f t="shared" si="22"/>
        <v>ERR</v>
      </c>
      <c r="BC9" s="102" t="s">
        <v>217</v>
      </c>
      <c r="BD9" s="102" t="s">
        <v>217</v>
      </c>
      <c r="BE9" s="102" t="s">
        <v>217</v>
      </c>
      <c r="BF9" s="100"/>
      <c r="BG9" s="100"/>
      <c r="BH9" s="100"/>
      <c r="BI9" s="100"/>
      <c r="BJ9" s="102" t="s">
        <v>217</v>
      </c>
      <c r="BK9" s="100"/>
      <c r="BL9" s="100"/>
      <c r="BM9" s="100"/>
      <c r="BN9" s="102" t="s">
        <v>303</v>
      </c>
      <c r="BO9" s="102" t="s">
        <v>217</v>
      </c>
      <c r="BP9" s="100"/>
      <c r="BQ9" s="100"/>
      <c r="BR9" s="100"/>
      <c r="BS9" s="100"/>
      <c r="BT9" s="100"/>
      <c r="BU9" s="74"/>
      <c r="BV9" s="102" t="s">
        <v>217</v>
      </c>
      <c r="BW9" s="100"/>
      <c r="BX9" s="102" t="s">
        <v>217</v>
      </c>
      <c r="BY9" s="102" t="s">
        <v>217</v>
      </c>
      <c r="BZ9" s="100"/>
      <c r="CA9" s="102" t="s">
        <v>217</v>
      </c>
      <c r="CB9" s="102" t="s">
        <v>217</v>
      </c>
      <c r="CC9" s="102" t="s">
        <v>217</v>
      </c>
      <c r="CD9" s="100"/>
      <c r="CE9" s="100"/>
      <c r="CF9" s="100"/>
      <c r="CG9" s="102" t="s">
        <v>217</v>
      </c>
      <c r="CH9" s="102" t="s">
        <v>217</v>
      </c>
      <c r="CI9" s="103" t="str">
        <f t="shared" si="69"/>
        <v>x</v>
      </c>
      <c r="CJ9" s="100"/>
      <c r="CK9" s="100"/>
      <c r="CL9" s="100"/>
      <c r="CM9" s="102" t="s">
        <v>217</v>
      </c>
      <c r="CN9" s="100"/>
      <c r="CO9" s="100"/>
      <c r="CP9" s="100"/>
      <c r="CQ9" s="100"/>
      <c r="CR9" s="7"/>
      <c r="CS9" s="7"/>
      <c r="CT9" s="95" t="s">
        <v>217</v>
      </c>
      <c r="CU9" s="7"/>
      <c r="CV9" s="7"/>
      <c r="CW9" s="7"/>
      <c r="CX9" s="7"/>
      <c r="CY9" s="95" t="s">
        <v>217</v>
      </c>
      <c r="CZ9" s="7"/>
      <c r="DA9" s="7"/>
      <c r="DB9" s="95" t="s">
        <v>217</v>
      </c>
      <c r="DC9" s="7"/>
      <c r="DD9" s="7"/>
      <c r="DE9" s="95" t="s">
        <v>217</v>
      </c>
      <c r="DF9" s="7"/>
      <c r="DG9" s="97">
        <f t="shared" si="24"/>
        <v>3</v>
      </c>
      <c r="DH9" s="7"/>
      <c r="DI9" s="7"/>
      <c r="DJ9" s="7"/>
      <c r="DK9" s="95" t="s">
        <v>217</v>
      </c>
      <c r="DL9" s="7"/>
      <c r="DM9" s="7"/>
      <c r="DN9" s="95" t="s">
        <v>217</v>
      </c>
      <c r="DO9" s="95" t="s">
        <v>217</v>
      </c>
      <c r="DP9" s="97" t="str">
        <f t="shared" si="26"/>
        <v>both</v>
      </c>
      <c r="DQ9" s="97" t="str">
        <f t="shared" si="27"/>
        <v/>
      </c>
      <c r="DR9" s="97" t="str">
        <f t="shared" si="28"/>
        <v/>
      </c>
      <c r="DS9" s="100"/>
      <c r="DT9" s="100"/>
      <c r="DU9" s="100"/>
      <c r="DV9" s="100"/>
      <c r="DW9" s="100"/>
      <c r="DX9" s="100"/>
      <c r="DY9" s="103">
        <f t="shared" si="29"/>
        <v>0</v>
      </c>
      <c r="DZ9" s="103" t="str">
        <f>if(AND(DS9&lt;&gt;"",DW9="x"), "x", "")</f>
        <v/>
      </c>
      <c r="EA9" s="100"/>
      <c r="EB9" s="100"/>
      <c r="EC9" s="100"/>
      <c r="ED9" s="100"/>
      <c r="EE9" s="103">
        <f t="shared" si="30"/>
        <v>0</v>
      </c>
      <c r="EF9" s="103" t="str">
        <f t="shared" si="70"/>
        <v/>
      </c>
      <c r="EG9" s="97" t="str">
        <f t="shared" si="31"/>
        <v/>
      </c>
      <c r="EH9" s="7"/>
      <c r="EI9" s="7"/>
      <c r="EJ9" s="100"/>
      <c r="EK9" s="100"/>
      <c r="EL9" s="100"/>
      <c r="EM9" s="100"/>
      <c r="EN9" s="7"/>
      <c r="EO9" s="7"/>
      <c r="EP9" s="7"/>
      <c r="EQ9" s="7"/>
      <c r="ER9" s="7"/>
      <c r="ES9" s="7"/>
      <c r="ET9" s="100"/>
      <c r="EU9" s="100"/>
      <c r="EV9" s="100"/>
      <c r="EW9" s="100"/>
      <c r="EX9" s="100"/>
      <c r="EY9" s="7"/>
      <c r="EZ9" s="7"/>
      <c r="FA9" s="7"/>
      <c r="FB9" s="7"/>
      <c r="FC9" s="7"/>
      <c r="FD9" s="7"/>
      <c r="FE9" s="97" t="str">
        <f t="shared" si="32"/>
        <v/>
      </c>
      <c r="FF9" s="7"/>
      <c r="FG9" s="7"/>
      <c r="FH9" s="7"/>
      <c r="FI9" s="7"/>
      <c r="FJ9" s="7"/>
      <c r="FK9" s="7"/>
      <c r="FL9" s="7"/>
      <c r="FM9" s="7"/>
      <c r="FN9" s="7"/>
      <c r="FO9" s="7"/>
      <c r="FP9" s="95" t="s">
        <v>217</v>
      </c>
      <c r="FQ9" s="7"/>
      <c r="FR9" s="95" t="s">
        <v>217</v>
      </c>
      <c r="FS9" s="7"/>
      <c r="FT9" s="7"/>
      <c r="FU9" s="7"/>
      <c r="FV9" s="100"/>
      <c r="FW9" s="7"/>
      <c r="FX9" s="7"/>
      <c r="FY9" s="7"/>
      <c r="FZ9" s="95" t="s">
        <v>217</v>
      </c>
      <c r="GA9" s="7"/>
      <c r="GB9" s="7"/>
      <c r="GC9" s="7"/>
      <c r="GD9" s="7"/>
      <c r="GE9" s="7"/>
      <c r="GF9" s="7"/>
      <c r="GG9" s="7"/>
      <c r="GH9" s="7"/>
      <c r="GI9" s="95" t="s">
        <v>217</v>
      </c>
      <c r="GJ9" s="7"/>
      <c r="GK9" s="7"/>
      <c r="GL9" s="95" t="s">
        <v>304</v>
      </c>
      <c r="GM9" s="95" t="s">
        <v>217</v>
      </c>
      <c r="GN9" s="95">
        <v>1.0</v>
      </c>
      <c r="GO9" s="95" t="s">
        <v>305</v>
      </c>
      <c r="GP9" s="7"/>
      <c r="GQ9" s="95" t="s">
        <v>306</v>
      </c>
      <c r="GR9" s="7"/>
      <c r="GS9" s="95" t="s">
        <v>217</v>
      </c>
      <c r="GT9" s="7"/>
      <c r="GU9" s="61" t="str">
        <f t="shared" si="36"/>
        <v/>
      </c>
      <c r="GV9" s="61" t="str">
        <f t="shared" si="37"/>
        <v/>
      </c>
      <c r="GW9" s="61" t="str">
        <f t="shared" si="38"/>
        <v/>
      </c>
      <c r="GX9" s="61" t="str">
        <f t="shared" si="39"/>
        <v>x</v>
      </c>
      <c r="GY9" s="61" t="str">
        <f t="shared" si="40"/>
        <v/>
      </c>
      <c r="GZ9" s="61" t="str">
        <f t="shared" si="41"/>
        <v/>
      </c>
      <c r="HA9" s="61" t="str">
        <f t="shared" si="42"/>
        <v>x</v>
      </c>
      <c r="HB9" s="61" t="str">
        <f t="shared" si="43"/>
        <v/>
      </c>
      <c r="HC9" s="61" t="str">
        <f t="shared" si="44"/>
        <v/>
      </c>
      <c r="HD9" s="61" t="str">
        <f t="shared" si="45"/>
        <v>x</v>
      </c>
      <c r="HE9" s="61" t="str">
        <f t="shared" si="46"/>
        <v/>
      </c>
      <c r="HF9" s="61" t="str">
        <f t="shared" si="47"/>
        <v/>
      </c>
      <c r="HG9" s="61" t="str">
        <f t="shared" si="48"/>
        <v/>
      </c>
      <c r="HH9" s="61" t="str">
        <f t="shared" si="49"/>
        <v/>
      </c>
      <c r="HI9" s="61" t="str">
        <f t="shared" si="50"/>
        <v/>
      </c>
      <c r="HJ9" s="61" t="str">
        <f t="shared" si="51"/>
        <v/>
      </c>
      <c r="HK9" s="61" t="str">
        <f t="shared" si="52"/>
        <v/>
      </c>
      <c r="HL9" s="61" t="str">
        <f t="shared" si="53"/>
        <v/>
      </c>
      <c r="HM9" s="61" t="str">
        <f t="shared" si="54"/>
        <v/>
      </c>
      <c r="HN9" s="61" t="str">
        <f t="shared" si="55"/>
        <v/>
      </c>
      <c r="HO9" s="61" t="str">
        <f t="shared" si="56"/>
        <v/>
      </c>
      <c r="HP9" s="61" t="str">
        <f t="shared" si="57"/>
        <v/>
      </c>
      <c r="HQ9" s="61" t="str">
        <f t="shared" si="58"/>
        <v/>
      </c>
      <c r="HR9" s="61" t="str">
        <f t="shared" si="59"/>
        <v/>
      </c>
      <c r="HS9" s="61" t="str">
        <f t="shared" si="60"/>
        <v/>
      </c>
      <c r="HT9" s="61" t="str">
        <f t="shared" si="61"/>
        <v/>
      </c>
      <c r="HU9" s="61" t="str">
        <f t="shared" si="62"/>
        <v/>
      </c>
      <c r="HV9" s="61" t="str">
        <f t="shared" si="63"/>
        <v/>
      </c>
      <c r="HW9" s="61" t="str">
        <f t="shared" si="64"/>
        <v/>
      </c>
      <c r="HX9" s="61" t="str">
        <f t="shared" si="65"/>
        <v/>
      </c>
      <c r="HY9" s="61" t="str">
        <f t="shared" si="66"/>
        <v/>
      </c>
      <c r="HZ9" s="61" t="str">
        <f t="shared" si="67"/>
        <v/>
      </c>
    </row>
    <row r="10" ht="1.5" customHeight="1">
      <c r="A10" s="49" t="s">
        <v>307</v>
      </c>
      <c r="B10" s="95" t="s">
        <v>308</v>
      </c>
      <c r="C10" s="117" t="s">
        <v>309</v>
      </c>
      <c r="D10" s="95" t="s">
        <v>210</v>
      </c>
      <c r="E10" s="96" t="str">
        <f t="shared" si="3"/>
        <v/>
      </c>
      <c r="F10" s="95" t="s">
        <v>245</v>
      </c>
      <c r="G10" s="95" t="s">
        <v>211</v>
      </c>
      <c r="H10" s="95">
        <v>2006.0</v>
      </c>
      <c r="I10" s="7"/>
      <c r="J10" s="95" t="s">
        <v>310</v>
      </c>
      <c r="K10" s="97" t="str">
        <f>if(AND(D10="Aysu", F10="Vahid"), 1, "")</f>
        <v/>
      </c>
      <c r="L10" s="97" t="str">
        <f>if(AND(D10="Aysu", F10="Ali"), 1, "")</f>
        <v/>
      </c>
      <c r="M10" s="97" t="str">
        <f>if(AND(D10="Vahid", F10="Aysu"), 1, "")</f>
        <v/>
      </c>
      <c r="N10" s="97">
        <f>if(AND(D10="Vahid", F10="Ali"), 1, "")</f>
        <v>1</v>
      </c>
      <c r="O10" s="97" t="str">
        <f>if(AND(D10="Ali", F10="Vahid"), 1, "")</f>
        <v/>
      </c>
      <c r="P10" s="97" t="str">
        <f>if(AND(D10="Ali", F10="Aysu"), 1, "")</f>
        <v/>
      </c>
      <c r="Q10" s="97" t="b">
        <f t="shared" si="10"/>
        <v>1</v>
      </c>
      <c r="R10" s="97" t="b">
        <f>SUM(S10:U10)&gt;=2</f>
        <v>1</v>
      </c>
      <c r="S10" s="95">
        <v>1.0</v>
      </c>
      <c r="T10" s="95">
        <v>1.0</v>
      </c>
      <c r="U10" s="95">
        <v>1.0</v>
      </c>
      <c r="V10" s="97" t="b">
        <f>SUM(W10:Y10)&gt;=2</f>
        <v>1</v>
      </c>
      <c r="W10" s="95">
        <v>1.0</v>
      </c>
      <c r="X10" s="95">
        <v>1.0</v>
      </c>
      <c r="Y10" s="95">
        <v>1.0</v>
      </c>
      <c r="Z10" s="7"/>
      <c r="AA10" s="97" t="str">
        <f>iferror(if(find("Pollock", AC10)&gt;0,concat(J10,", "), ""))</f>
        <v/>
      </c>
      <c r="AB10" s="97" t="str">
        <f>if(GI10="x",concat(J10,", "), "")</f>
        <v/>
      </c>
      <c r="AC10" s="98" t="s">
        <v>311</v>
      </c>
      <c r="AD10" s="95" t="s">
        <v>266</v>
      </c>
      <c r="AE10" s="7"/>
      <c r="AF10" s="97">
        <f>countif('Charts-SLR'!A:A,AD10)</f>
        <v>1</v>
      </c>
      <c r="AG10" s="95" t="s">
        <v>312</v>
      </c>
      <c r="AH10" s="97">
        <f t="array" ref="AH10">countif({},AG10)</f>
        <v>0</v>
      </c>
      <c r="AI10" s="95" t="s">
        <v>268</v>
      </c>
      <c r="AJ10" s="95">
        <v>14.0</v>
      </c>
      <c r="AK10" s="99">
        <f>AJ10/(2012-H10)</f>
        <v>2.333333333</v>
      </c>
      <c r="AL10" s="97" t="str">
        <f>if(AI10="J",AJ10,"")</f>
        <v/>
      </c>
      <c r="AM10" s="97" t="str">
        <f>if(AI10="C",AJ10,"")</f>
        <v/>
      </c>
      <c r="AN10" s="97" t="str">
        <f>if(AI10="W", AJ10,"")</f>
        <v/>
      </c>
      <c r="AO10" s="97" t="str">
        <f>if(AI10="M",AJ10,"")</f>
        <v/>
      </c>
      <c r="AP10" s="97">
        <f>if(AI10="S",AJ10,"")</f>
        <v>14</v>
      </c>
      <c r="AQ10" s="97" t="str">
        <f>if(BH10="x",concat(J10,", "), "")</f>
        <v/>
      </c>
      <c r="AR10" s="100"/>
      <c r="AS10" s="100"/>
      <c r="AT10" s="100"/>
      <c r="AU10" s="100"/>
      <c r="AV10" s="100"/>
      <c r="AW10" s="100"/>
      <c r="AX10" s="100"/>
      <c r="AY10" s="100"/>
      <c r="AZ10" s="100"/>
      <c r="BA10" s="100"/>
      <c r="BB10" s="101" t="str">
        <f t="shared" si="22"/>
        <v>ERR</v>
      </c>
      <c r="BC10" s="102" t="s">
        <v>217</v>
      </c>
      <c r="BD10" s="102" t="s">
        <v>217</v>
      </c>
      <c r="BE10" s="100"/>
      <c r="BF10" s="100"/>
      <c r="BG10" s="100"/>
      <c r="BH10" s="100"/>
      <c r="BI10" s="103">
        <f>COUNTA(BC10:BH10)</f>
        <v>2</v>
      </c>
      <c r="BJ10" s="100"/>
      <c r="BK10" s="100"/>
      <c r="BL10" s="100"/>
      <c r="BM10" s="100"/>
      <c r="BN10" s="100"/>
      <c r="BO10" s="102" t="s">
        <v>217</v>
      </c>
      <c r="BP10" s="100"/>
      <c r="BQ10" s="100"/>
      <c r="BR10" s="100"/>
      <c r="BS10" s="100"/>
      <c r="BT10" s="100"/>
      <c r="BU10" s="74"/>
      <c r="BV10" s="102" t="s">
        <v>217</v>
      </c>
      <c r="BW10" s="100"/>
      <c r="BX10" s="100"/>
      <c r="BY10" s="102" t="s">
        <v>217</v>
      </c>
      <c r="BZ10" s="100"/>
      <c r="CA10" s="102" t="s">
        <v>217</v>
      </c>
      <c r="CB10" s="100"/>
      <c r="CC10" s="100"/>
      <c r="CD10" s="100"/>
      <c r="CE10" s="100"/>
      <c r="CF10" s="100"/>
      <c r="CG10" s="102" t="s">
        <v>217</v>
      </c>
      <c r="CH10" s="102" t="s">
        <v>217</v>
      </c>
      <c r="CI10" s="102" t="s">
        <v>217</v>
      </c>
      <c r="CJ10" s="100"/>
      <c r="CK10" s="102" t="s">
        <v>217</v>
      </c>
      <c r="CL10" s="102" t="s">
        <v>217</v>
      </c>
      <c r="CM10" s="100"/>
      <c r="CN10" s="102" t="s">
        <v>217</v>
      </c>
      <c r="CO10" s="100"/>
      <c r="CP10" s="100"/>
      <c r="CQ10" s="100"/>
      <c r="CR10" s="7"/>
      <c r="CS10" s="7"/>
      <c r="CT10" s="7"/>
      <c r="CU10" s="7"/>
      <c r="CV10" s="7"/>
      <c r="CW10" s="7"/>
      <c r="CX10" s="7"/>
      <c r="CY10" s="95" t="s">
        <v>217</v>
      </c>
      <c r="CZ10" s="7"/>
      <c r="DA10" s="7"/>
      <c r="DB10" s="7"/>
      <c r="DC10" s="7"/>
      <c r="DD10" s="7"/>
      <c r="DE10" s="7"/>
      <c r="DF10" s="95" t="s">
        <v>217</v>
      </c>
      <c r="DG10" s="97">
        <f t="shared" si="24"/>
        <v>2</v>
      </c>
      <c r="DH10" s="7"/>
      <c r="DI10" s="95" t="s">
        <v>217</v>
      </c>
      <c r="DJ10" s="7"/>
      <c r="DK10" s="7"/>
      <c r="DL10" s="7"/>
      <c r="DM10" s="97">
        <f>counta(DH10:DL10)</f>
        <v>1</v>
      </c>
      <c r="DN10" s="7"/>
      <c r="DO10" s="95" t="s">
        <v>217</v>
      </c>
      <c r="DP10" s="97" t="str">
        <f t="shared" si="26"/>
        <v/>
      </c>
      <c r="DQ10" s="97" t="str">
        <f t="shared" si="27"/>
        <v/>
      </c>
      <c r="DR10" s="97" t="str">
        <f t="shared" si="28"/>
        <v>FA</v>
      </c>
      <c r="DS10" s="102" t="s">
        <v>268</v>
      </c>
      <c r="DT10" s="100"/>
      <c r="DU10" s="100"/>
      <c r="DV10" s="100"/>
      <c r="DW10" s="100"/>
      <c r="DX10" s="100"/>
      <c r="DY10" s="103">
        <f t="shared" si="29"/>
        <v>1</v>
      </c>
      <c r="DZ10" s="100"/>
      <c r="EA10" s="100"/>
      <c r="EB10" s="100"/>
      <c r="EC10" s="100"/>
      <c r="ED10" s="100"/>
      <c r="EE10" s="103">
        <f t="shared" si="30"/>
        <v>0</v>
      </c>
      <c r="EF10" s="103" t="str">
        <f t="shared" si="70"/>
        <v/>
      </c>
      <c r="EG10" s="97" t="str">
        <f t="shared" si="31"/>
        <v/>
      </c>
      <c r="EH10" s="7"/>
      <c r="EI10" s="7"/>
      <c r="EJ10" s="100"/>
      <c r="EK10" s="100"/>
      <c r="EL10" s="100"/>
      <c r="EM10" s="100"/>
      <c r="EN10" s="7"/>
      <c r="EO10" s="7"/>
      <c r="EP10" s="7"/>
      <c r="EQ10" s="7"/>
      <c r="ER10" s="7"/>
      <c r="ES10" s="7"/>
      <c r="ET10" s="100"/>
      <c r="EU10" s="100"/>
      <c r="EV10" s="100"/>
      <c r="EW10" s="100"/>
      <c r="EX10" s="100"/>
      <c r="EY10" s="7"/>
      <c r="EZ10" s="7"/>
      <c r="FA10" s="7"/>
      <c r="FB10" s="7"/>
      <c r="FC10" s="7"/>
      <c r="FD10" s="7"/>
      <c r="FE10" s="97" t="str">
        <f t="shared" si="32"/>
        <v/>
      </c>
      <c r="FF10" s="7"/>
      <c r="FG10" s="7"/>
      <c r="FH10" s="7"/>
      <c r="FI10" s="7"/>
      <c r="FJ10" s="7"/>
      <c r="FK10" s="7"/>
      <c r="FL10" s="7"/>
      <c r="FM10" s="7"/>
      <c r="FN10" s="7"/>
      <c r="FO10" s="7"/>
      <c r="FP10" s="95" t="s">
        <v>217</v>
      </c>
      <c r="FQ10" s="97" t="str">
        <f>if(and(FO10="",FP10=""), "both", "")</f>
        <v/>
      </c>
      <c r="FR10" s="95" t="s">
        <v>217</v>
      </c>
      <c r="FS10" s="7"/>
      <c r="FT10" s="97" t="str">
        <f>if(and(FS10="x",FR10="x"), "both", "")</f>
        <v/>
      </c>
      <c r="FU10" s="97" t="str">
        <f>if(and(FR10="",FS10=""), "none", "")</f>
        <v/>
      </c>
      <c r="FV10" s="100"/>
      <c r="FW10" s="7"/>
      <c r="FX10" s="7"/>
      <c r="FY10" s="95" t="s">
        <v>217</v>
      </c>
      <c r="FZ10" s="7"/>
      <c r="GA10" s="7"/>
      <c r="GB10" s="7"/>
      <c r="GC10" s="7"/>
      <c r="GD10" s="95" t="s">
        <v>217</v>
      </c>
      <c r="GE10" s="7"/>
      <c r="GF10" s="7"/>
      <c r="GG10" s="7"/>
      <c r="GH10" s="7"/>
      <c r="GI10" s="7"/>
      <c r="GJ10" s="7"/>
      <c r="GK10" s="7"/>
      <c r="GL10" s="95" t="s">
        <v>313</v>
      </c>
      <c r="GM10" s="7"/>
      <c r="GN10" s="7"/>
      <c r="GO10" s="7"/>
      <c r="GP10" s="7"/>
      <c r="GQ10" s="121"/>
      <c r="GR10" s="95" t="s">
        <v>217</v>
      </c>
      <c r="GS10" s="7"/>
      <c r="GT10" s="7"/>
      <c r="GU10" s="61" t="str">
        <f t="shared" si="36"/>
        <v/>
      </c>
      <c r="GV10" s="61" t="str">
        <f t="shared" si="37"/>
        <v/>
      </c>
      <c r="GW10" s="61" t="str">
        <f t="shared" si="38"/>
        <v/>
      </c>
      <c r="GX10" s="61" t="str">
        <f t="shared" si="39"/>
        <v>x</v>
      </c>
      <c r="GY10" s="61" t="str">
        <f t="shared" si="40"/>
        <v/>
      </c>
      <c r="GZ10" s="61" t="str">
        <f t="shared" si="41"/>
        <v/>
      </c>
      <c r="HA10" s="61" t="str">
        <f t="shared" si="42"/>
        <v/>
      </c>
      <c r="HB10" s="61" t="str">
        <f t="shared" si="43"/>
        <v/>
      </c>
      <c r="HC10" s="61" t="str">
        <f t="shared" si="44"/>
        <v/>
      </c>
      <c r="HD10" s="61" t="str">
        <f t="shared" si="45"/>
        <v/>
      </c>
      <c r="HE10" s="61" t="str">
        <f t="shared" si="46"/>
        <v>x</v>
      </c>
      <c r="HF10" s="61" t="str">
        <f t="shared" si="47"/>
        <v/>
      </c>
      <c r="HG10" s="61" t="str">
        <f t="shared" si="48"/>
        <v/>
      </c>
      <c r="HH10" s="61" t="str">
        <f t="shared" si="49"/>
        <v/>
      </c>
      <c r="HI10" s="61" t="str">
        <f t="shared" si="50"/>
        <v/>
      </c>
      <c r="HJ10" s="61" t="str">
        <f t="shared" si="51"/>
        <v/>
      </c>
      <c r="HK10" s="61" t="str">
        <f t="shared" si="52"/>
        <v/>
      </c>
      <c r="HL10" s="61" t="str">
        <f t="shared" si="53"/>
        <v/>
      </c>
      <c r="HM10" s="61" t="str">
        <f t="shared" si="54"/>
        <v/>
      </c>
      <c r="HN10" s="61" t="str">
        <f t="shared" si="55"/>
        <v/>
      </c>
      <c r="HO10" s="61" t="str">
        <f t="shared" si="56"/>
        <v/>
      </c>
      <c r="HP10" s="61" t="str">
        <f t="shared" si="57"/>
        <v/>
      </c>
      <c r="HQ10" s="61" t="str">
        <f t="shared" si="58"/>
        <v/>
      </c>
      <c r="HR10" s="61" t="str">
        <f t="shared" si="59"/>
        <v/>
      </c>
      <c r="HS10" s="61" t="str">
        <f t="shared" si="60"/>
        <v/>
      </c>
      <c r="HT10" s="61" t="str">
        <f t="shared" si="61"/>
        <v/>
      </c>
      <c r="HU10" s="61" t="str">
        <f t="shared" si="62"/>
        <v/>
      </c>
      <c r="HV10" s="61" t="str">
        <f t="shared" si="63"/>
        <v/>
      </c>
      <c r="HW10" s="61" t="str">
        <f t="shared" si="64"/>
        <v/>
      </c>
      <c r="HX10" s="61" t="str">
        <f t="shared" si="65"/>
        <v/>
      </c>
      <c r="HY10" s="61" t="str">
        <f t="shared" si="66"/>
        <v/>
      </c>
      <c r="HZ10" s="61" t="str">
        <f t="shared" si="67"/>
        <v/>
      </c>
    </row>
    <row r="11" ht="15.0" customHeight="1">
      <c r="A11" s="49" t="s">
        <v>314</v>
      </c>
      <c r="B11" s="80" t="s">
        <v>315</v>
      </c>
      <c r="C11" s="113" t="s">
        <v>316</v>
      </c>
      <c r="D11" s="80" t="s">
        <v>301</v>
      </c>
      <c r="E11" s="107">
        <f t="shared" si="3"/>
        <v>2</v>
      </c>
      <c r="F11" s="80" t="s">
        <v>210</v>
      </c>
      <c r="G11" s="80" t="s">
        <v>217</v>
      </c>
      <c r="H11" s="80">
        <v>2012.0</v>
      </c>
      <c r="J11" s="80" t="s">
        <v>317</v>
      </c>
      <c r="Q11" s="61" t="b">
        <f t="shared" si="10"/>
        <v>1</v>
      </c>
      <c r="R11" s="61" t="b">
        <f>if(AVERAGE(S11:U11)&gt;=5, TRUE, FALSE)</f>
        <v>1</v>
      </c>
      <c r="S11" s="114">
        <v>7.0</v>
      </c>
      <c r="T11" s="114">
        <v>7.0</v>
      </c>
      <c r="U11" s="80">
        <v>7.0</v>
      </c>
      <c r="V11" s="61" t="b">
        <f>if(AVERAGE(W11:Y11)&gt;=5, TRUE, FALSE)</f>
        <v>1</v>
      </c>
      <c r="W11" s="80">
        <v>8.0</v>
      </c>
      <c r="X11" s="80">
        <v>7.0</v>
      </c>
      <c r="Y11" s="80">
        <v>8.0</v>
      </c>
      <c r="Z11" s="10"/>
      <c r="AC11" s="114" t="s">
        <v>318</v>
      </c>
      <c r="AD11" s="80" t="s">
        <v>266</v>
      </c>
      <c r="AG11" s="80" t="s">
        <v>267</v>
      </c>
      <c r="AI11" s="80" t="s">
        <v>250</v>
      </c>
      <c r="AR11" s="74"/>
      <c r="AS11" s="74"/>
      <c r="AT11" s="74"/>
      <c r="AU11" s="74"/>
      <c r="AV11" s="74"/>
      <c r="AW11" s="74"/>
      <c r="AX11" s="73" t="s">
        <v>217</v>
      </c>
      <c r="AY11" s="74"/>
      <c r="AZ11" s="74"/>
      <c r="BA11" s="74"/>
      <c r="BB11" s="109" t="str">
        <f t="shared" si="22"/>
        <v/>
      </c>
      <c r="BC11" s="73" t="s">
        <v>217</v>
      </c>
      <c r="BD11" s="73" t="s">
        <v>217</v>
      </c>
      <c r="BE11" s="73" t="s">
        <v>217</v>
      </c>
      <c r="BF11" s="74"/>
      <c r="BG11" s="73" t="s">
        <v>217</v>
      </c>
      <c r="BH11" s="74"/>
      <c r="BI11" s="74"/>
      <c r="BJ11" s="74"/>
      <c r="BK11" s="74"/>
      <c r="BL11" s="74"/>
      <c r="BM11" s="73" t="s">
        <v>319</v>
      </c>
      <c r="BN11" s="73" t="s">
        <v>218</v>
      </c>
      <c r="BO11" s="74"/>
      <c r="BP11" s="73" t="s">
        <v>217</v>
      </c>
      <c r="BQ11" s="74"/>
      <c r="BR11" s="74"/>
      <c r="BS11" s="74"/>
      <c r="BT11" s="74"/>
      <c r="BU11" s="74"/>
      <c r="BV11" s="73" t="s">
        <v>217</v>
      </c>
      <c r="BW11" s="74"/>
      <c r="BX11" s="74"/>
      <c r="BY11" s="73" t="s">
        <v>217</v>
      </c>
      <c r="BZ11" s="74"/>
      <c r="CA11" s="73" t="s">
        <v>217</v>
      </c>
      <c r="CB11" s="73" t="s">
        <v>217</v>
      </c>
      <c r="CC11" s="74"/>
      <c r="CD11" s="74"/>
      <c r="CE11" s="74"/>
      <c r="CF11" s="74"/>
      <c r="CG11" s="74"/>
      <c r="CH11" s="73" t="s">
        <v>217</v>
      </c>
      <c r="CI11" s="110" t="str">
        <f t="shared" ref="CI11:CI14" si="74">if(and(CG11="x",CH11="x"), "x", "")</f>
        <v/>
      </c>
      <c r="CJ11" s="74"/>
      <c r="CK11" s="73" t="s">
        <v>217</v>
      </c>
      <c r="CL11" s="74"/>
      <c r="CM11" s="74"/>
      <c r="CN11" s="73" t="s">
        <v>217</v>
      </c>
      <c r="CO11" s="74"/>
      <c r="CP11" s="74"/>
      <c r="CQ11" s="74"/>
      <c r="CX11" s="80" t="s">
        <v>217</v>
      </c>
      <c r="DF11" s="80" t="s">
        <v>217</v>
      </c>
      <c r="DG11" s="61">
        <f t="shared" si="24"/>
        <v>2</v>
      </c>
      <c r="DH11" s="80" t="s">
        <v>217</v>
      </c>
      <c r="DI11" s="80" t="s">
        <v>217</v>
      </c>
      <c r="DO11" s="80" t="s">
        <v>217</v>
      </c>
      <c r="DP11" s="61" t="str">
        <f t="shared" si="26"/>
        <v/>
      </c>
      <c r="DQ11" s="61" t="str">
        <f t="shared" si="27"/>
        <v/>
      </c>
      <c r="DR11" s="61" t="str">
        <f t="shared" si="28"/>
        <v>FA</v>
      </c>
      <c r="DS11" s="74"/>
      <c r="DT11" s="74"/>
      <c r="DU11" s="74"/>
      <c r="DV11" s="74"/>
      <c r="DW11" s="74"/>
      <c r="DX11" s="73" t="s">
        <v>320</v>
      </c>
      <c r="DY11" s="110">
        <f t="shared" si="29"/>
        <v>1</v>
      </c>
      <c r="DZ11" s="110" t="str">
        <f>if(AND(DS11&lt;&gt;"",DW11="x"), "x", "")</f>
        <v/>
      </c>
      <c r="EA11" s="74"/>
      <c r="EB11" s="73" t="s">
        <v>217</v>
      </c>
      <c r="EC11" s="74"/>
      <c r="ED11" s="74"/>
      <c r="EE11" s="110">
        <f t="shared" si="30"/>
        <v>1</v>
      </c>
      <c r="EF11" s="110" t="str">
        <f t="shared" si="70"/>
        <v>x</v>
      </c>
      <c r="EG11" s="61" t="str">
        <f t="shared" si="31"/>
        <v/>
      </c>
      <c r="EI11" s="80" t="s">
        <v>321</v>
      </c>
      <c r="EJ11" s="74"/>
      <c r="EK11" s="74"/>
      <c r="EL11" s="74"/>
      <c r="EM11" s="74"/>
      <c r="ES11" s="80" t="s">
        <v>322</v>
      </c>
      <c r="ET11" s="73">
        <v>0.0</v>
      </c>
      <c r="EU11" s="74"/>
      <c r="EV11" s="74"/>
      <c r="EW11" s="74"/>
      <c r="EX11" s="74"/>
      <c r="EZ11" s="80" t="s">
        <v>323</v>
      </c>
      <c r="FA11" s="80" t="s">
        <v>324</v>
      </c>
      <c r="FD11" s="80" t="s">
        <v>325</v>
      </c>
      <c r="FE11" s="97">
        <f t="shared" si="32"/>
        <v>2</v>
      </c>
      <c r="FF11" s="80">
        <v>1.0</v>
      </c>
      <c r="FG11" s="80">
        <v>1.0</v>
      </c>
      <c r="FH11" s="80">
        <v>1.0</v>
      </c>
      <c r="FI11" s="61">
        <f t="shared" ref="FI11:FI12" si="75">sum(FF11:FH11)</f>
        <v>3</v>
      </c>
      <c r="FJ11" s="80">
        <v>0.0</v>
      </c>
      <c r="FK11" s="80">
        <v>0.0</v>
      </c>
      <c r="FL11" s="80" t="s">
        <v>189</v>
      </c>
      <c r="FM11" s="61" t="str">
        <f>if(GP11&lt;1000, "0", if(GP11&lt;10000, "0.5","1"))</f>
        <v>1</v>
      </c>
      <c r="FN11" s="61">
        <f t="shared" ref="FN11:FN12" si="76">sum(FJ11:FM11)</f>
        <v>0</v>
      </c>
      <c r="FP11" s="80" t="s">
        <v>217</v>
      </c>
      <c r="FR11" s="80" t="s">
        <v>217</v>
      </c>
      <c r="FV11" s="74"/>
      <c r="FZ11" s="80" t="s">
        <v>217</v>
      </c>
      <c r="GC11" s="80" t="s">
        <v>217</v>
      </c>
      <c r="GL11" s="80" t="s">
        <v>326</v>
      </c>
      <c r="GN11" s="80">
        <v>6.0</v>
      </c>
      <c r="GO11" s="80" t="s">
        <v>327</v>
      </c>
      <c r="GP11" s="80">
        <v>157887.0</v>
      </c>
      <c r="GQ11" s="80" t="s">
        <v>328</v>
      </c>
      <c r="GS11" s="80" t="s">
        <v>217</v>
      </c>
      <c r="GU11" s="61" t="str">
        <f t="shared" si="36"/>
        <v/>
      </c>
      <c r="GV11" s="61" t="str">
        <f t="shared" si="37"/>
        <v/>
      </c>
      <c r="GW11" s="61" t="str">
        <f t="shared" si="38"/>
        <v/>
      </c>
      <c r="GX11" s="61" t="str">
        <f t="shared" si="39"/>
        <v/>
      </c>
      <c r="GY11" s="61" t="str">
        <f t="shared" si="40"/>
        <v/>
      </c>
      <c r="GZ11" s="61" t="str">
        <f t="shared" si="41"/>
        <v/>
      </c>
      <c r="HA11" s="61" t="str">
        <f t="shared" si="42"/>
        <v/>
      </c>
      <c r="HB11" s="61" t="str">
        <f t="shared" si="43"/>
        <v/>
      </c>
      <c r="HC11" s="61" t="str">
        <f t="shared" si="44"/>
        <v/>
      </c>
      <c r="HD11" s="61" t="str">
        <f t="shared" si="45"/>
        <v/>
      </c>
      <c r="HE11" s="61" t="str">
        <f t="shared" si="46"/>
        <v/>
      </c>
      <c r="HF11" s="61" t="str">
        <f t="shared" si="47"/>
        <v/>
      </c>
      <c r="HG11" s="61" t="str">
        <f t="shared" si="48"/>
        <v/>
      </c>
      <c r="HH11" s="61" t="str">
        <f t="shared" si="49"/>
        <v/>
      </c>
      <c r="HI11" s="61" t="str">
        <f t="shared" si="50"/>
        <v/>
      </c>
      <c r="HJ11" s="61" t="str">
        <f t="shared" si="51"/>
        <v/>
      </c>
      <c r="HK11" s="61" t="str">
        <f t="shared" si="52"/>
        <v/>
      </c>
      <c r="HL11" s="61" t="str">
        <f t="shared" si="53"/>
        <v/>
      </c>
      <c r="HM11" s="61" t="str">
        <f t="shared" si="54"/>
        <v/>
      </c>
      <c r="HN11" s="61" t="str">
        <f t="shared" si="55"/>
        <v/>
      </c>
      <c r="HO11" s="61" t="str">
        <f t="shared" si="56"/>
        <v/>
      </c>
      <c r="HP11" s="61" t="str">
        <f t="shared" si="57"/>
        <v/>
      </c>
      <c r="HQ11" s="61" t="str">
        <f t="shared" si="58"/>
        <v/>
      </c>
      <c r="HR11" s="61" t="str">
        <f t="shared" si="59"/>
        <v/>
      </c>
      <c r="HS11" s="61" t="str">
        <f t="shared" si="60"/>
        <v/>
      </c>
      <c r="HT11" s="61" t="str">
        <f t="shared" si="61"/>
        <v/>
      </c>
      <c r="HU11" s="61" t="str">
        <f t="shared" si="62"/>
        <v/>
      </c>
      <c r="HV11" s="61" t="str">
        <f t="shared" si="63"/>
        <v/>
      </c>
      <c r="HW11" s="61" t="str">
        <f t="shared" si="64"/>
        <v>x</v>
      </c>
      <c r="HX11" s="61" t="str">
        <f t="shared" si="65"/>
        <v/>
      </c>
      <c r="HY11" s="61" t="str">
        <f t="shared" si="66"/>
        <v/>
      </c>
      <c r="HZ11" s="61" t="str">
        <f t="shared" si="67"/>
        <v/>
      </c>
    </row>
    <row r="12" ht="1.5" customHeight="1">
      <c r="A12" s="49" t="s">
        <v>329</v>
      </c>
      <c r="B12" s="80" t="s">
        <v>330</v>
      </c>
      <c r="C12" s="113" t="s">
        <v>331</v>
      </c>
      <c r="D12" s="80" t="s">
        <v>210</v>
      </c>
      <c r="E12" s="107">
        <f t="shared" si="3"/>
        <v>3</v>
      </c>
      <c r="F12" s="80" t="s">
        <v>245</v>
      </c>
      <c r="G12" s="80" t="s">
        <v>211</v>
      </c>
      <c r="H12" s="80">
        <v>2005.0</v>
      </c>
      <c r="I12" s="122"/>
      <c r="J12" s="80" t="s">
        <v>332</v>
      </c>
      <c r="K12" s="61" t="str">
        <f t="shared" ref="K12:K18" si="77">if(AND(D12="Aysu", F12="Vahid"), 1, "")</f>
        <v/>
      </c>
      <c r="L12" s="61" t="str">
        <f t="shared" ref="L12:L18" si="78">if(AND(D12="Aysu", F12="Ali"), 1, "")</f>
        <v/>
      </c>
      <c r="M12" s="61" t="str">
        <f t="shared" ref="M12:M18" si="79">if(AND(D12="Vahid", F12="Aysu"), 1, "")</f>
        <v/>
      </c>
      <c r="N12" s="61">
        <f t="shared" ref="N12:N18" si="80">if(AND(D12="Vahid", F12="Ali"), 1, "")</f>
        <v>1</v>
      </c>
      <c r="O12" s="61" t="str">
        <f t="shared" ref="O12:O18" si="81">if(AND(D12="Ali", F12="Vahid"), 1, "")</f>
        <v/>
      </c>
      <c r="P12" s="61" t="str">
        <f t="shared" ref="P12:P18" si="82">if(AND(D12="Ali", F12="Aysu"), 1, "")</f>
        <v/>
      </c>
      <c r="Q12" s="61" t="b">
        <f t="shared" si="10"/>
        <v>1</v>
      </c>
      <c r="R12" s="61" t="b">
        <f t="shared" ref="R12:R18" si="83">SUM(S12:U12)&gt;=2</f>
        <v>1</v>
      </c>
      <c r="S12" s="80">
        <v>1.0</v>
      </c>
      <c r="T12" s="80">
        <v>1.0</v>
      </c>
      <c r="U12" s="80">
        <v>1.0</v>
      </c>
      <c r="V12" s="61" t="b">
        <f t="shared" ref="V12:V18" si="84">SUM(W12:Y12)&gt;=2</f>
        <v>1</v>
      </c>
      <c r="W12" s="80">
        <v>1.0</v>
      </c>
      <c r="X12" s="80">
        <v>1.0</v>
      </c>
      <c r="Y12" s="80">
        <v>1.0</v>
      </c>
      <c r="AA12" s="61" t="str">
        <f t="shared" ref="AA12:AA18" si="85">iferror(if(find("Pollock", AC12)&gt;0,concat(J12,", "), ""))</f>
        <v>Sprenkle:icsm05, </v>
      </c>
      <c r="AB12" s="61" t="str">
        <f t="shared" ref="AB12:AB18" si="86">if(GI12="x",concat(J12,", "), "")</f>
        <v/>
      </c>
      <c r="AC12" s="114" t="s">
        <v>333</v>
      </c>
      <c r="AD12" s="80" t="s">
        <v>266</v>
      </c>
      <c r="AF12" s="61">
        <f>countif('Charts-SLR'!A:A,AD12)</f>
        <v>1</v>
      </c>
      <c r="AG12" s="80" t="s">
        <v>334</v>
      </c>
      <c r="AH12" s="61">
        <f t="shared" ref="AH12:AH18" si="87">countif({},AG12)</f>
        <v>0</v>
      </c>
      <c r="AI12" s="80" t="s">
        <v>250</v>
      </c>
      <c r="AJ12" s="80">
        <v>38.0</v>
      </c>
      <c r="AK12" s="108">
        <f t="shared" ref="AK12:AK18" si="88">AJ12/(2012-H12)</f>
        <v>5.428571429</v>
      </c>
      <c r="AL12" s="61" t="str">
        <f t="shared" ref="AL12:AL18" si="89">if(AI12="J",AJ12,"")</f>
        <v/>
      </c>
      <c r="AM12" s="61">
        <f t="shared" ref="AM12:AM18" si="90">if(AI12="C",AJ12,"")</f>
        <v>38</v>
      </c>
      <c r="AN12" s="61" t="str">
        <f t="shared" ref="AN12:AN18" si="91">if(AI12="W", AJ12,"")</f>
        <v/>
      </c>
      <c r="AO12" s="61" t="str">
        <f t="shared" ref="AO12:AO18" si="92">if(AI12="M",AJ12,"")</f>
        <v/>
      </c>
      <c r="AP12" s="61" t="str">
        <f t="shared" ref="AP12:AP18" si="93">if(AI12="S",AJ12,"")</f>
        <v/>
      </c>
      <c r="AQ12" s="61" t="str">
        <f t="shared" ref="AQ12:AQ18" si="94">if(BH12="x",concat(J12,", "), "")</f>
        <v>Sprenkle:icsm05, </v>
      </c>
      <c r="AR12" s="74"/>
      <c r="AS12" s="74"/>
      <c r="AT12" s="74"/>
      <c r="AU12" s="74"/>
      <c r="AV12" s="73" t="s">
        <v>217</v>
      </c>
      <c r="AW12" s="74"/>
      <c r="AX12" s="74"/>
      <c r="AY12" s="74"/>
      <c r="AZ12" s="74"/>
      <c r="BA12" s="74"/>
      <c r="BB12" s="109" t="str">
        <f t="shared" si="22"/>
        <v/>
      </c>
      <c r="BC12" s="74"/>
      <c r="BD12" s="74"/>
      <c r="BE12" s="74"/>
      <c r="BF12" s="74"/>
      <c r="BG12" s="74"/>
      <c r="BH12" s="73" t="s">
        <v>217</v>
      </c>
      <c r="BI12" s="110">
        <f t="shared" ref="BI12:BI18" si="95">COUNTA(BC12:BH12)</f>
        <v>1</v>
      </c>
      <c r="BJ12" s="74"/>
      <c r="BK12" s="74"/>
      <c r="BL12" s="74"/>
      <c r="BM12" s="74"/>
      <c r="BN12" s="74"/>
      <c r="BO12" s="74"/>
      <c r="BP12" s="74"/>
      <c r="BQ12" s="73" t="s">
        <v>217</v>
      </c>
      <c r="BR12" s="74"/>
      <c r="BS12" s="74"/>
      <c r="BT12" s="74"/>
      <c r="BU12" s="74"/>
      <c r="BV12" s="73" t="s">
        <v>217</v>
      </c>
      <c r="BW12" s="74"/>
      <c r="BX12" s="74"/>
      <c r="BY12" s="74"/>
      <c r="BZ12" s="74"/>
      <c r="CA12" s="74"/>
      <c r="CB12" s="74"/>
      <c r="CC12" s="74"/>
      <c r="CD12" s="73" t="s">
        <v>217</v>
      </c>
      <c r="CE12" s="74"/>
      <c r="CF12" s="74"/>
      <c r="CG12" s="74"/>
      <c r="CH12" s="73" t="s">
        <v>217</v>
      </c>
      <c r="CI12" s="111" t="str">
        <f t="shared" si="74"/>
        <v/>
      </c>
      <c r="CJ12" s="74"/>
      <c r="CK12" s="74"/>
      <c r="CL12" s="74"/>
      <c r="CM12" s="73" t="s">
        <v>217</v>
      </c>
      <c r="CN12" s="74"/>
      <c r="CO12" s="74"/>
      <c r="CP12" s="73" t="s">
        <v>217</v>
      </c>
      <c r="CQ12" s="74"/>
      <c r="CR12" s="80" t="s">
        <v>217</v>
      </c>
      <c r="CV12" s="80" t="s">
        <v>217</v>
      </c>
      <c r="DE12" s="80" t="s">
        <v>217</v>
      </c>
      <c r="DF12" s="80" t="s">
        <v>217</v>
      </c>
      <c r="DG12" s="61">
        <f t="shared" si="24"/>
        <v>3</v>
      </c>
      <c r="DH12" s="80" t="s">
        <v>217</v>
      </c>
      <c r="DM12" s="61">
        <f t="shared" ref="DM12:DM18" si="96">counta(DH12:DL12)</f>
        <v>1</v>
      </c>
      <c r="DO12" s="80" t="s">
        <v>217</v>
      </c>
      <c r="DP12" s="61" t="str">
        <f t="shared" si="26"/>
        <v/>
      </c>
      <c r="DQ12" s="61" t="str">
        <f t="shared" si="27"/>
        <v/>
      </c>
      <c r="DR12" s="61" t="str">
        <f t="shared" si="28"/>
        <v>FA</v>
      </c>
      <c r="DS12" s="73" t="s">
        <v>335</v>
      </c>
      <c r="DU12" s="73" t="s">
        <v>336</v>
      </c>
      <c r="DV12" s="74"/>
      <c r="DW12" s="73" t="s">
        <v>217</v>
      </c>
      <c r="DX12" s="74"/>
      <c r="DY12" s="110">
        <f t="shared" si="29"/>
        <v>3</v>
      </c>
      <c r="DZ12" s="74"/>
      <c r="EA12" s="73" t="s">
        <v>217</v>
      </c>
      <c r="EB12" s="73" t="s">
        <v>217</v>
      </c>
      <c r="EC12" s="73" t="s">
        <v>217</v>
      </c>
      <c r="EE12" s="110">
        <f t="shared" si="30"/>
        <v>3</v>
      </c>
      <c r="EF12" s="110" t="str">
        <f t="shared" si="70"/>
        <v>x</v>
      </c>
      <c r="EG12" s="61" t="str">
        <f t="shared" si="31"/>
        <v/>
      </c>
      <c r="EI12" s="80" t="s">
        <v>337</v>
      </c>
      <c r="EJ12" s="74"/>
      <c r="EK12" s="74"/>
      <c r="EL12" s="74"/>
      <c r="EM12" s="73" t="s">
        <v>217</v>
      </c>
      <c r="EN12" s="80" t="s">
        <v>217</v>
      </c>
      <c r="ES12" s="80" t="s">
        <v>338</v>
      </c>
      <c r="ET12" s="73">
        <v>4.0</v>
      </c>
      <c r="EU12" s="73" t="s">
        <v>217</v>
      </c>
      <c r="EV12" s="74"/>
      <c r="EW12" s="73" t="s">
        <v>217</v>
      </c>
      <c r="EX12" s="74"/>
      <c r="EY12" s="80" t="s">
        <v>339</v>
      </c>
      <c r="EZ12" s="80" t="s">
        <v>340</v>
      </c>
      <c r="FA12" s="80" t="s">
        <v>341</v>
      </c>
      <c r="FC12" s="80" t="s">
        <v>342</v>
      </c>
      <c r="FD12" s="80" t="s">
        <v>274</v>
      </c>
      <c r="FE12" s="97">
        <f t="shared" si="32"/>
        <v>3</v>
      </c>
      <c r="FF12" s="80">
        <v>1.0</v>
      </c>
      <c r="FG12" s="80">
        <v>1.0</v>
      </c>
      <c r="FH12" s="80">
        <v>1.0</v>
      </c>
      <c r="FI12" s="61">
        <f t="shared" si="75"/>
        <v>3</v>
      </c>
      <c r="FJ12" s="80">
        <v>0.0</v>
      </c>
      <c r="FK12" s="80">
        <v>0.0</v>
      </c>
      <c r="FL12" s="80" t="s">
        <v>189</v>
      </c>
      <c r="FM12" s="80">
        <v>1.0</v>
      </c>
      <c r="FN12" s="61">
        <f t="shared" si="76"/>
        <v>1</v>
      </c>
      <c r="FP12" s="80" t="s">
        <v>217</v>
      </c>
      <c r="FQ12" s="61" t="str">
        <f t="shared" ref="FQ12:FQ18" si="97">if(and(FO12="",FP12=""), "both", "")</f>
        <v/>
      </c>
      <c r="FR12" s="80" t="s">
        <v>217</v>
      </c>
      <c r="FT12" s="61" t="str">
        <f t="shared" ref="FT12:FT18" si="98">if(and(FS12="x",FR12="x"), "both", "")</f>
        <v/>
      </c>
      <c r="FU12" s="61" t="str">
        <f t="shared" ref="FU12:FU18" si="99">if(and(FR12="",FS12=""), "none", "")</f>
        <v/>
      </c>
      <c r="FV12" s="74"/>
      <c r="FZ12" s="80" t="s">
        <v>217</v>
      </c>
      <c r="GC12" s="80" t="s">
        <v>217</v>
      </c>
      <c r="GD12" s="80" t="s">
        <v>217</v>
      </c>
      <c r="GN12" s="80">
        <v>2.0</v>
      </c>
      <c r="GO12" s="80" t="s">
        <v>343</v>
      </c>
      <c r="GP12" s="112">
        <v>17091.0</v>
      </c>
      <c r="GS12" s="80" t="s">
        <v>217</v>
      </c>
      <c r="GT12" s="80" t="s">
        <v>217</v>
      </c>
      <c r="GU12" s="61" t="str">
        <f t="shared" si="36"/>
        <v/>
      </c>
      <c r="GV12" s="61" t="str">
        <f t="shared" si="37"/>
        <v/>
      </c>
      <c r="GW12" s="61" t="str">
        <f t="shared" si="38"/>
        <v/>
      </c>
      <c r="GX12" s="61" t="str">
        <f t="shared" si="39"/>
        <v/>
      </c>
      <c r="GY12" s="61" t="str">
        <f t="shared" si="40"/>
        <v/>
      </c>
      <c r="GZ12" s="61" t="str">
        <f t="shared" si="41"/>
        <v/>
      </c>
      <c r="HA12" s="61" t="str">
        <f t="shared" si="42"/>
        <v/>
      </c>
      <c r="HB12" s="61" t="str">
        <f t="shared" si="43"/>
        <v/>
      </c>
      <c r="HC12" s="61" t="str">
        <f t="shared" si="44"/>
        <v/>
      </c>
      <c r="HD12" s="61" t="str">
        <f t="shared" si="45"/>
        <v/>
      </c>
      <c r="HE12" s="61" t="str">
        <f t="shared" si="46"/>
        <v/>
      </c>
      <c r="HF12" s="61" t="str">
        <f t="shared" si="47"/>
        <v/>
      </c>
      <c r="HG12" s="61" t="str">
        <f t="shared" si="48"/>
        <v/>
      </c>
      <c r="HH12" s="61" t="str">
        <f t="shared" si="49"/>
        <v/>
      </c>
      <c r="HI12" s="61" t="str">
        <f t="shared" si="50"/>
        <v/>
      </c>
      <c r="HJ12" s="61" t="str">
        <f t="shared" si="51"/>
        <v/>
      </c>
      <c r="HK12" s="61" t="str">
        <f t="shared" si="52"/>
        <v/>
      </c>
      <c r="HL12" s="61" t="str">
        <f t="shared" si="53"/>
        <v/>
      </c>
      <c r="HM12" s="61" t="str">
        <f t="shared" si="54"/>
        <v/>
      </c>
      <c r="HN12" s="61" t="str">
        <f t="shared" si="55"/>
        <v/>
      </c>
      <c r="HO12" s="61" t="str">
        <f t="shared" si="56"/>
        <v/>
      </c>
      <c r="HP12" s="61" t="str">
        <f t="shared" si="57"/>
        <v/>
      </c>
      <c r="HQ12" s="61" t="str">
        <f t="shared" si="58"/>
        <v/>
      </c>
      <c r="HR12" s="61" t="str">
        <f t="shared" si="59"/>
        <v/>
      </c>
      <c r="HS12" s="61" t="str">
        <f t="shared" si="60"/>
        <v/>
      </c>
      <c r="HT12" s="61" t="str">
        <f t="shared" si="61"/>
        <v/>
      </c>
      <c r="HU12" s="61" t="str">
        <f t="shared" si="62"/>
        <v/>
      </c>
      <c r="HV12" s="61" t="str">
        <f t="shared" si="63"/>
        <v/>
      </c>
      <c r="HW12" s="61" t="str">
        <f t="shared" si="64"/>
        <v/>
      </c>
      <c r="HX12" s="61" t="str">
        <f t="shared" si="65"/>
        <v/>
      </c>
      <c r="HY12" s="61" t="str">
        <f t="shared" si="66"/>
        <v/>
      </c>
      <c r="HZ12" s="61" t="str">
        <f t="shared" si="67"/>
        <v/>
      </c>
    </row>
    <row r="13" ht="1.5" customHeight="1">
      <c r="A13" s="49" t="s">
        <v>344</v>
      </c>
      <c r="B13" s="87" t="s">
        <v>345</v>
      </c>
      <c r="C13" s="117" t="s">
        <v>346</v>
      </c>
      <c r="D13" s="95" t="s">
        <v>245</v>
      </c>
      <c r="E13" s="96" t="str">
        <f t="shared" si="3"/>
        <v/>
      </c>
      <c r="F13" s="95" t="s">
        <v>209</v>
      </c>
      <c r="G13" s="95" t="s">
        <v>211</v>
      </c>
      <c r="H13" s="95">
        <v>2001.0</v>
      </c>
      <c r="I13" s="7"/>
      <c r="J13" s="95" t="s">
        <v>347</v>
      </c>
      <c r="K13" s="97" t="str">
        <f t="shared" si="77"/>
        <v/>
      </c>
      <c r="L13" s="97" t="str">
        <f t="shared" si="78"/>
        <v/>
      </c>
      <c r="M13" s="97" t="str">
        <f t="shared" si="79"/>
        <v/>
      </c>
      <c r="N13" s="97" t="str">
        <f t="shared" si="80"/>
        <v/>
      </c>
      <c r="O13" s="97" t="str">
        <f t="shared" si="81"/>
        <v/>
      </c>
      <c r="P13" s="97">
        <f t="shared" si="82"/>
        <v>1</v>
      </c>
      <c r="Q13" s="97" t="b">
        <f t="shared" si="10"/>
        <v>1</v>
      </c>
      <c r="R13" s="97" t="b">
        <f t="shared" si="83"/>
        <v>1</v>
      </c>
      <c r="S13" s="95">
        <v>1.0</v>
      </c>
      <c r="T13" s="95">
        <v>1.0</v>
      </c>
      <c r="U13" s="95">
        <v>1.0</v>
      </c>
      <c r="V13" s="97" t="b">
        <f t="shared" si="84"/>
        <v>1</v>
      </c>
      <c r="W13" s="95">
        <v>1.0</v>
      </c>
      <c r="X13" s="95">
        <v>1.0</v>
      </c>
      <c r="Y13" s="95">
        <v>1.0</v>
      </c>
      <c r="Z13" s="7"/>
      <c r="AA13" s="97" t="str">
        <f t="shared" si="85"/>
        <v/>
      </c>
      <c r="AB13" s="97" t="str">
        <f t="shared" si="86"/>
        <v>Ricca:icse01, </v>
      </c>
      <c r="AC13" s="98" t="s">
        <v>348</v>
      </c>
      <c r="AD13" s="95" t="s">
        <v>214</v>
      </c>
      <c r="AE13" s="7"/>
      <c r="AF13" s="97">
        <f>countif('Charts-SLR'!A:A,AD13)</f>
        <v>1</v>
      </c>
      <c r="AG13" s="95" t="s">
        <v>249</v>
      </c>
      <c r="AH13" s="97">
        <f t="shared" si="87"/>
        <v>0</v>
      </c>
      <c r="AI13" s="95" t="s">
        <v>250</v>
      </c>
      <c r="AJ13" s="95">
        <v>361.0</v>
      </c>
      <c r="AK13" s="99">
        <f t="shared" si="88"/>
        <v>32.81818182</v>
      </c>
      <c r="AL13" s="97" t="str">
        <f t="shared" si="89"/>
        <v/>
      </c>
      <c r="AM13" s="97">
        <f t="shared" si="90"/>
        <v>361</v>
      </c>
      <c r="AN13" s="97" t="str">
        <f t="shared" si="91"/>
        <v/>
      </c>
      <c r="AO13" s="97" t="str">
        <f t="shared" si="92"/>
        <v/>
      </c>
      <c r="AP13" s="97" t="str">
        <f t="shared" si="93"/>
        <v/>
      </c>
      <c r="AQ13" s="97" t="str">
        <f t="shared" si="94"/>
        <v/>
      </c>
      <c r="AR13" s="100"/>
      <c r="AS13" s="100"/>
      <c r="AT13" s="100"/>
      <c r="AU13" s="100"/>
      <c r="AV13" s="100"/>
      <c r="AW13" s="100"/>
      <c r="AX13" s="100"/>
      <c r="AY13" s="100"/>
      <c r="AZ13" s="100"/>
      <c r="BA13" s="100"/>
      <c r="BB13" s="101" t="str">
        <f t="shared" si="22"/>
        <v>ERR</v>
      </c>
      <c r="BC13" s="100"/>
      <c r="BD13" s="102" t="s">
        <v>217</v>
      </c>
      <c r="BE13" s="102" t="s">
        <v>217</v>
      </c>
      <c r="BF13" s="100"/>
      <c r="BG13" s="100"/>
      <c r="BH13" s="100"/>
      <c r="BI13" s="103">
        <f t="shared" si="95"/>
        <v>2</v>
      </c>
      <c r="BJ13" s="102" t="s">
        <v>217</v>
      </c>
      <c r="BK13" s="100"/>
      <c r="BL13" s="100"/>
      <c r="BM13" s="100"/>
      <c r="BN13" s="102" t="s">
        <v>349</v>
      </c>
      <c r="BO13" s="102" t="s">
        <v>217</v>
      </c>
      <c r="BP13" s="100"/>
      <c r="BQ13" s="100"/>
      <c r="BR13" s="100"/>
      <c r="BS13" s="100"/>
      <c r="BT13" s="100"/>
      <c r="BU13" s="74"/>
      <c r="BV13" s="102" t="s">
        <v>217</v>
      </c>
      <c r="BW13" s="100"/>
      <c r="BX13" s="102" t="s">
        <v>217</v>
      </c>
      <c r="BY13" s="102" t="s">
        <v>217</v>
      </c>
      <c r="BZ13" s="100"/>
      <c r="CA13" s="100"/>
      <c r="CB13" s="102" t="s">
        <v>217</v>
      </c>
      <c r="CC13" s="100"/>
      <c r="CD13" s="100"/>
      <c r="CE13" s="100"/>
      <c r="CF13" s="100"/>
      <c r="CG13" s="102" t="s">
        <v>217</v>
      </c>
      <c r="CH13" s="100"/>
      <c r="CI13" s="103" t="str">
        <f t="shared" si="74"/>
        <v/>
      </c>
      <c r="CJ13" s="103">
        <f t="shared" ref="CJ13:CJ18" si="100">if(CG13="x", 1, if(CH13="x", 2, 3))</f>
        <v>1</v>
      </c>
      <c r="CK13" s="102" t="s">
        <v>217</v>
      </c>
      <c r="CL13" s="102" t="s">
        <v>217</v>
      </c>
      <c r="CM13" s="100"/>
      <c r="CN13" s="102" t="s">
        <v>217</v>
      </c>
      <c r="CO13" s="100"/>
      <c r="CP13" s="102" t="s">
        <v>217</v>
      </c>
      <c r="CQ13" s="100"/>
      <c r="CR13" s="7"/>
      <c r="CS13" s="7"/>
      <c r="CT13" s="7"/>
      <c r="CU13" s="7"/>
      <c r="CV13" s="7"/>
      <c r="CW13" s="7"/>
      <c r="CX13" s="95" t="s">
        <v>217</v>
      </c>
      <c r="CY13" s="7"/>
      <c r="CZ13" s="7"/>
      <c r="DA13" s="7"/>
      <c r="DB13" s="95" t="s">
        <v>217</v>
      </c>
      <c r="DC13" s="7"/>
      <c r="DD13" s="7"/>
      <c r="DE13" s="7"/>
      <c r="DF13" s="95" t="s">
        <v>350</v>
      </c>
      <c r="DG13" s="97">
        <f t="shared" si="24"/>
        <v>3</v>
      </c>
      <c r="DH13" s="95" t="s">
        <v>217</v>
      </c>
      <c r="DI13" s="95" t="s">
        <v>217</v>
      </c>
      <c r="DJ13" s="7"/>
      <c r="DK13" s="7"/>
      <c r="DL13" s="7"/>
      <c r="DM13" s="97">
        <f t="shared" si="96"/>
        <v>2</v>
      </c>
      <c r="DN13" s="7"/>
      <c r="DO13" s="95" t="s">
        <v>217</v>
      </c>
      <c r="DP13" s="97" t="str">
        <f t="shared" si="26"/>
        <v/>
      </c>
      <c r="DQ13" s="97" t="str">
        <f t="shared" si="27"/>
        <v/>
      </c>
      <c r="DR13" s="97" t="str">
        <f t="shared" si="28"/>
        <v>FA</v>
      </c>
      <c r="DS13" s="102" t="s">
        <v>351</v>
      </c>
      <c r="DT13" s="7"/>
      <c r="DU13" s="102" t="s">
        <v>352</v>
      </c>
      <c r="DV13" s="100"/>
      <c r="DW13" s="100"/>
      <c r="DX13" s="100"/>
      <c r="DY13" s="103">
        <f t="shared" si="29"/>
        <v>2</v>
      </c>
      <c r="DZ13" s="100"/>
      <c r="EA13" s="100"/>
      <c r="EB13" s="100"/>
      <c r="EC13" s="100"/>
      <c r="ED13" s="100"/>
      <c r="EE13" s="103">
        <f t="shared" si="30"/>
        <v>0</v>
      </c>
      <c r="EF13" s="103" t="str">
        <f t="shared" si="70"/>
        <v/>
      </c>
      <c r="EG13" s="97" t="str">
        <f t="shared" si="31"/>
        <v/>
      </c>
      <c r="EH13" s="95" t="s">
        <v>217</v>
      </c>
      <c r="EI13" s="7"/>
      <c r="EJ13" s="100"/>
      <c r="EK13" s="100"/>
      <c r="EL13" s="100"/>
      <c r="EM13" s="100"/>
      <c r="EN13" s="7"/>
      <c r="EO13" s="7"/>
      <c r="EP13" s="7"/>
      <c r="EQ13" s="7"/>
      <c r="ER13" s="7"/>
      <c r="ES13" s="7"/>
      <c r="ET13" s="100"/>
      <c r="EU13" s="100"/>
      <c r="EV13" s="100"/>
      <c r="EW13" s="100"/>
      <c r="EX13" s="100"/>
      <c r="EY13" s="7"/>
      <c r="EZ13" s="7"/>
      <c r="FA13" s="7"/>
      <c r="FB13" s="7"/>
      <c r="FC13" s="7"/>
      <c r="FD13" s="7"/>
      <c r="FE13" s="97" t="str">
        <f t="shared" si="32"/>
        <v/>
      </c>
      <c r="FF13" s="7"/>
      <c r="FG13" s="7"/>
      <c r="FH13" s="7"/>
      <c r="FI13" s="7"/>
      <c r="FJ13" s="7"/>
      <c r="FK13" s="7"/>
      <c r="FL13" s="7"/>
      <c r="FM13" s="7"/>
      <c r="FN13" s="7"/>
      <c r="FO13" s="7"/>
      <c r="FP13" s="95" t="s">
        <v>217</v>
      </c>
      <c r="FQ13" s="97" t="str">
        <f t="shared" si="97"/>
        <v/>
      </c>
      <c r="FR13" s="95" t="s">
        <v>217</v>
      </c>
      <c r="FS13" s="7"/>
      <c r="FT13" s="97" t="str">
        <f t="shared" si="98"/>
        <v/>
      </c>
      <c r="FU13" s="97" t="str">
        <f t="shared" si="99"/>
        <v/>
      </c>
      <c r="FV13" s="100"/>
      <c r="FW13" s="95" t="s">
        <v>217</v>
      </c>
      <c r="FX13" s="7"/>
      <c r="FY13" s="7"/>
      <c r="FZ13" s="7"/>
      <c r="GA13" s="7"/>
      <c r="GB13" s="7"/>
      <c r="GC13" s="7"/>
      <c r="GD13" s="7"/>
      <c r="GE13" s="7"/>
      <c r="GF13" s="7"/>
      <c r="GG13" s="7"/>
      <c r="GH13" s="7"/>
      <c r="GI13" s="95" t="s">
        <v>217</v>
      </c>
      <c r="GJ13" s="7"/>
      <c r="GK13" s="7"/>
      <c r="GL13" s="95" t="s">
        <v>353</v>
      </c>
      <c r="GM13" s="7"/>
      <c r="GN13" s="95">
        <v>2.0</v>
      </c>
      <c r="GO13" s="95" t="s">
        <v>354</v>
      </c>
      <c r="GP13" s="121"/>
      <c r="GQ13" s="95" t="s">
        <v>355</v>
      </c>
      <c r="GR13" s="7"/>
      <c r="GS13" s="7"/>
      <c r="GT13" s="7"/>
      <c r="GU13" s="61" t="str">
        <f t="shared" si="36"/>
        <v/>
      </c>
      <c r="GV13" s="61" t="str">
        <f t="shared" si="37"/>
        <v/>
      </c>
      <c r="GW13" s="61" t="str">
        <f t="shared" si="38"/>
        <v>x</v>
      </c>
      <c r="GX13" s="61" t="str">
        <f t="shared" si="39"/>
        <v/>
      </c>
      <c r="GY13" s="61" t="str">
        <f t="shared" si="40"/>
        <v/>
      </c>
      <c r="GZ13" s="61" t="str">
        <f t="shared" si="41"/>
        <v/>
      </c>
      <c r="HA13" s="61" t="str">
        <f t="shared" si="42"/>
        <v>x</v>
      </c>
      <c r="HB13" s="61" t="str">
        <f t="shared" si="43"/>
        <v/>
      </c>
      <c r="HC13" s="61" t="str">
        <f t="shared" si="44"/>
        <v/>
      </c>
      <c r="HD13" s="61" t="str">
        <f t="shared" si="45"/>
        <v/>
      </c>
      <c r="HE13" s="61" t="str">
        <f t="shared" si="46"/>
        <v/>
      </c>
      <c r="HF13" s="61" t="str">
        <f t="shared" si="47"/>
        <v/>
      </c>
      <c r="HG13" s="61" t="str">
        <f t="shared" si="48"/>
        <v/>
      </c>
      <c r="HH13" s="61" t="str">
        <f t="shared" si="49"/>
        <v/>
      </c>
      <c r="HI13" s="61" t="str">
        <f t="shared" si="50"/>
        <v/>
      </c>
      <c r="HJ13" s="61" t="str">
        <f t="shared" si="51"/>
        <v/>
      </c>
      <c r="HK13" s="61" t="str">
        <f t="shared" si="52"/>
        <v/>
      </c>
      <c r="HL13" s="61" t="str">
        <f t="shared" si="53"/>
        <v/>
      </c>
      <c r="HM13" s="61" t="str">
        <f t="shared" si="54"/>
        <v/>
      </c>
      <c r="HN13" s="61" t="str">
        <f t="shared" si="55"/>
        <v/>
      </c>
      <c r="HO13" s="61" t="str">
        <f t="shared" si="56"/>
        <v/>
      </c>
      <c r="HP13" s="61" t="str">
        <f t="shared" si="57"/>
        <v/>
      </c>
      <c r="HQ13" s="61" t="str">
        <f t="shared" si="58"/>
        <v/>
      </c>
      <c r="HR13" s="61" t="str">
        <f t="shared" si="59"/>
        <v/>
      </c>
      <c r="HS13" s="61" t="str">
        <f t="shared" si="60"/>
        <v/>
      </c>
      <c r="HT13" s="61" t="str">
        <f t="shared" si="61"/>
        <v/>
      </c>
      <c r="HU13" s="61" t="str">
        <f t="shared" si="62"/>
        <v/>
      </c>
      <c r="HV13" s="61" t="str">
        <f t="shared" si="63"/>
        <v/>
      </c>
      <c r="HW13" s="61" t="str">
        <f t="shared" si="64"/>
        <v/>
      </c>
      <c r="HX13" s="61" t="str">
        <f t="shared" si="65"/>
        <v/>
      </c>
      <c r="HY13" s="61" t="str">
        <f t="shared" si="66"/>
        <v/>
      </c>
      <c r="HZ13" s="61" t="str">
        <f t="shared" si="67"/>
        <v/>
      </c>
    </row>
    <row r="14" ht="1.5" customHeight="1">
      <c r="A14" s="49" t="s">
        <v>356</v>
      </c>
      <c r="B14" s="80" t="s">
        <v>357</v>
      </c>
      <c r="C14" s="113" t="s">
        <v>358</v>
      </c>
      <c r="D14" s="80" t="s">
        <v>245</v>
      </c>
      <c r="E14" s="107">
        <f t="shared" si="3"/>
        <v>2</v>
      </c>
      <c r="F14" s="80" t="s">
        <v>209</v>
      </c>
      <c r="G14" s="80" t="s">
        <v>211</v>
      </c>
      <c r="H14" s="80">
        <v>2006.0</v>
      </c>
      <c r="J14" s="80" t="s">
        <v>359</v>
      </c>
      <c r="K14" s="61" t="str">
        <f t="shared" si="77"/>
        <v/>
      </c>
      <c r="L14" s="61" t="str">
        <f t="shared" si="78"/>
        <v/>
      </c>
      <c r="M14" s="61" t="str">
        <f t="shared" si="79"/>
        <v/>
      </c>
      <c r="N14" s="61" t="str">
        <f t="shared" si="80"/>
        <v/>
      </c>
      <c r="O14" s="61" t="str">
        <f t="shared" si="81"/>
        <v/>
      </c>
      <c r="P14" s="61">
        <f t="shared" si="82"/>
        <v>1</v>
      </c>
      <c r="Q14" s="61" t="b">
        <f t="shared" si="10"/>
        <v>1</v>
      </c>
      <c r="R14" s="61" t="b">
        <f t="shared" si="83"/>
        <v>1</v>
      </c>
      <c r="S14" s="80">
        <v>1.0</v>
      </c>
      <c r="T14" s="80">
        <v>1.0</v>
      </c>
      <c r="U14" s="80">
        <v>1.0</v>
      </c>
      <c r="V14" s="61" t="b">
        <f t="shared" si="84"/>
        <v>1</v>
      </c>
      <c r="W14" s="80">
        <v>1.0</v>
      </c>
      <c r="X14" s="80">
        <v>1.0</v>
      </c>
      <c r="Y14" s="80">
        <v>1.0</v>
      </c>
      <c r="AA14" s="61" t="str">
        <f t="shared" si="85"/>
        <v>Sampath:tse07, </v>
      </c>
      <c r="AB14" s="61" t="str">
        <f t="shared" si="86"/>
        <v/>
      </c>
      <c r="AC14" s="114" t="s">
        <v>360</v>
      </c>
      <c r="AD14" s="80" t="s">
        <v>266</v>
      </c>
      <c r="AF14" s="61">
        <f>countif('Charts-SLR'!A:A,AD14)</f>
        <v>1</v>
      </c>
      <c r="AG14" s="80" t="s">
        <v>361</v>
      </c>
      <c r="AH14" s="61">
        <f t="shared" si="87"/>
        <v>0</v>
      </c>
      <c r="AI14" s="80" t="s">
        <v>231</v>
      </c>
      <c r="AJ14" s="80">
        <v>50.0</v>
      </c>
      <c r="AK14" s="108">
        <f t="shared" si="88"/>
        <v>8.333333333</v>
      </c>
      <c r="AL14" s="61">
        <f t="shared" si="89"/>
        <v>50</v>
      </c>
      <c r="AM14" s="61" t="str">
        <f t="shared" si="90"/>
        <v/>
      </c>
      <c r="AN14" s="61" t="str">
        <f t="shared" si="91"/>
        <v/>
      </c>
      <c r="AO14" s="61" t="str">
        <f t="shared" si="92"/>
        <v/>
      </c>
      <c r="AP14" s="61" t="str">
        <f t="shared" si="93"/>
        <v/>
      </c>
      <c r="AQ14" s="61" t="str">
        <f t="shared" si="94"/>
        <v/>
      </c>
      <c r="AR14" s="74"/>
      <c r="AS14" s="74"/>
      <c r="AT14" s="74"/>
      <c r="AU14" s="74"/>
      <c r="AV14" s="73" t="s">
        <v>217</v>
      </c>
      <c r="AW14" s="74"/>
      <c r="AX14" s="74"/>
      <c r="AY14" s="74"/>
      <c r="AZ14" s="74"/>
      <c r="BA14" s="74"/>
      <c r="BB14" s="109" t="str">
        <f t="shared" si="22"/>
        <v/>
      </c>
      <c r="BC14" s="73" t="s">
        <v>217</v>
      </c>
      <c r="BD14" s="74"/>
      <c r="BE14" s="74"/>
      <c r="BF14" s="74"/>
      <c r="BG14" s="74"/>
      <c r="BH14" s="74"/>
      <c r="BI14" s="110">
        <f t="shared" si="95"/>
        <v>1</v>
      </c>
      <c r="BJ14" s="74"/>
      <c r="BK14" s="74"/>
      <c r="BL14" s="74"/>
      <c r="BM14" s="74"/>
      <c r="BN14" s="74"/>
      <c r="BO14" s="74"/>
      <c r="BP14" s="73" t="s">
        <v>217</v>
      </c>
      <c r="BQ14" s="74"/>
      <c r="BR14" s="74"/>
      <c r="BS14" s="74"/>
      <c r="BT14" s="74"/>
      <c r="BU14" s="74"/>
      <c r="BV14" s="73" t="s">
        <v>217</v>
      </c>
      <c r="BW14" s="73" t="s">
        <v>217</v>
      </c>
      <c r="BX14" s="74"/>
      <c r="BY14" s="73" t="s">
        <v>217</v>
      </c>
      <c r="BZ14" s="74"/>
      <c r="CA14" s="74"/>
      <c r="CB14" s="73" t="s">
        <v>217</v>
      </c>
      <c r="CC14" s="74"/>
      <c r="CD14" s="74"/>
      <c r="CE14" s="74"/>
      <c r="CF14" s="74"/>
      <c r="CG14" s="74"/>
      <c r="CH14" s="73" t="s">
        <v>217</v>
      </c>
      <c r="CI14" s="111" t="str">
        <f t="shared" si="74"/>
        <v/>
      </c>
      <c r="CJ14" s="110">
        <f t="shared" si="100"/>
        <v>2</v>
      </c>
      <c r="CK14" s="73" t="s">
        <v>217</v>
      </c>
      <c r="CL14" s="73" t="s">
        <v>217</v>
      </c>
      <c r="CM14" s="74"/>
      <c r="CN14" s="74"/>
      <c r="CO14" s="74"/>
      <c r="CP14" s="74"/>
      <c r="CQ14" s="74"/>
      <c r="CR14" s="80" t="s">
        <v>217</v>
      </c>
      <c r="DD14" s="80" t="s">
        <v>217</v>
      </c>
      <c r="DF14" s="80" t="s">
        <v>362</v>
      </c>
      <c r="DG14" s="61">
        <f t="shared" si="24"/>
        <v>2</v>
      </c>
      <c r="DH14" s="80" t="s">
        <v>217</v>
      </c>
      <c r="DK14" s="80" t="s">
        <v>217</v>
      </c>
      <c r="DL14" s="123"/>
      <c r="DM14" s="61">
        <f t="shared" si="96"/>
        <v>2</v>
      </c>
      <c r="DO14" s="80" t="s">
        <v>217</v>
      </c>
      <c r="DP14" s="61" t="str">
        <f t="shared" si="26"/>
        <v/>
      </c>
      <c r="DQ14" s="61" t="str">
        <f t="shared" si="27"/>
        <v/>
      </c>
      <c r="DR14" s="61" t="str">
        <f t="shared" si="28"/>
        <v>FA</v>
      </c>
      <c r="DS14" s="73" t="s">
        <v>268</v>
      </c>
      <c r="DT14" s="74"/>
      <c r="DU14" s="74"/>
      <c r="DV14" s="74"/>
      <c r="DW14" s="73" t="s">
        <v>217</v>
      </c>
      <c r="DX14" s="74"/>
      <c r="DY14" s="110">
        <f t="shared" si="29"/>
        <v>2</v>
      </c>
      <c r="DZ14" s="74"/>
      <c r="EA14" s="73" t="s">
        <v>217</v>
      </c>
      <c r="EB14" s="73" t="s">
        <v>217</v>
      </c>
      <c r="EC14" s="74"/>
      <c r="ED14" s="74"/>
      <c r="EE14" s="110">
        <f t="shared" si="30"/>
        <v>2</v>
      </c>
      <c r="EF14" s="110" t="str">
        <f t="shared" si="70"/>
        <v>x</v>
      </c>
      <c r="EG14" s="61" t="str">
        <f t="shared" si="31"/>
        <v/>
      </c>
      <c r="EI14" s="80" t="s">
        <v>363</v>
      </c>
      <c r="EJ14" s="74"/>
      <c r="EK14" s="73" t="s">
        <v>217</v>
      </c>
      <c r="EL14" s="74"/>
      <c r="EM14" s="74"/>
      <c r="ES14" s="80" t="s">
        <v>364</v>
      </c>
      <c r="ET14" s="73">
        <v>2.0</v>
      </c>
      <c r="EU14" s="74"/>
      <c r="EV14" s="74"/>
      <c r="EW14" s="74"/>
      <c r="EX14" s="74"/>
      <c r="EZ14" s="80" t="s">
        <v>365</v>
      </c>
      <c r="FC14" s="80" t="s">
        <v>366</v>
      </c>
      <c r="FD14" s="80" t="s">
        <v>256</v>
      </c>
      <c r="FE14" s="97">
        <f t="shared" si="32"/>
        <v>2</v>
      </c>
      <c r="FF14" s="80">
        <v>1.0</v>
      </c>
      <c r="FG14" s="80">
        <v>1.0</v>
      </c>
      <c r="FH14" s="124">
        <v>1.0</v>
      </c>
      <c r="FI14" s="61">
        <f t="shared" ref="FI14:FI21" si="101">sum(FF14:FH14)</f>
        <v>3</v>
      </c>
      <c r="FJ14" s="80">
        <v>0.0</v>
      </c>
      <c r="FK14" s="80">
        <v>0.0</v>
      </c>
      <c r="FL14" s="80" t="s">
        <v>189</v>
      </c>
      <c r="FM14" s="61" t="str">
        <f t="shared" ref="FM14:FM19" si="102">if(GP14&lt;1000, "0", if(GP14&lt;10000, "0.5","1"))</f>
        <v>1</v>
      </c>
      <c r="FN14" s="61">
        <f t="shared" ref="FN14:FN21" si="103">sum(FJ14:FM14)</f>
        <v>0</v>
      </c>
      <c r="FP14" s="80" t="s">
        <v>217</v>
      </c>
      <c r="FQ14" s="61" t="str">
        <f t="shared" si="97"/>
        <v/>
      </c>
      <c r="FR14" s="80" t="s">
        <v>217</v>
      </c>
      <c r="FT14" s="61" t="str">
        <f t="shared" si="98"/>
        <v/>
      </c>
      <c r="FU14" s="61" t="str">
        <f t="shared" si="99"/>
        <v/>
      </c>
      <c r="FV14" s="74"/>
      <c r="FZ14" s="80" t="s">
        <v>217</v>
      </c>
      <c r="GD14" s="80" t="s">
        <v>217</v>
      </c>
      <c r="GN14" s="80">
        <v>3.0</v>
      </c>
      <c r="GO14" s="80" t="s">
        <v>367</v>
      </c>
      <c r="GP14" s="112">
        <v>18015.0</v>
      </c>
      <c r="GQ14" s="80" t="s">
        <v>368</v>
      </c>
      <c r="GR14" s="80" t="s">
        <v>217</v>
      </c>
      <c r="GS14" s="80" t="s">
        <v>217</v>
      </c>
      <c r="GU14" s="61" t="str">
        <f t="shared" si="36"/>
        <v/>
      </c>
      <c r="GV14" s="61" t="str">
        <f t="shared" si="37"/>
        <v/>
      </c>
      <c r="GW14" s="61" t="str">
        <f t="shared" si="38"/>
        <v/>
      </c>
      <c r="GX14" s="61" t="str">
        <f t="shared" si="39"/>
        <v/>
      </c>
      <c r="GY14" s="61" t="str">
        <f t="shared" si="40"/>
        <v/>
      </c>
      <c r="GZ14" s="61" t="str">
        <f t="shared" si="41"/>
        <v/>
      </c>
      <c r="HA14" s="61" t="str">
        <f t="shared" si="42"/>
        <v/>
      </c>
      <c r="HB14" s="61" t="str">
        <f t="shared" si="43"/>
        <v/>
      </c>
      <c r="HC14" s="61" t="str">
        <f t="shared" si="44"/>
        <v/>
      </c>
      <c r="HD14" s="61" t="str">
        <f t="shared" si="45"/>
        <v/>
      </c>
      <c r="HE14" s="61" t="str">
        <f t="shared" si="46"/>
        <v/>
      </c>
      <c r="HF14" s="61" t="str">
        <f t="shared" si="47"/>
        <v/>
      </c>
      <c r="HG14" s="61" t="str">
        <f t="shared" si="48"/>
        <v/>
      </c>
      <c r="HH14" s="61" t="str">
        <f t="shared" si="49"/>
        <v/>
      </c>
      <c r="HI14" s="61" t="str">
        <f t="shared" si="50"/>
        <v/>
      </c>
      <c r="HJ14" s="61" t="str">
        <f t="shared" si="51"/>
        <v/>
      </c>
      <c r="HK14" s="61" t="str">
        <f t="shared" si="52"/>
        <v/>
      </c>
      <c r="HL14" s="61" t="str">
        <f t="shared" si="53"/>
        <v/>
      </c>
      <c r="HM14" s="61" t="str">
        <f t="shared" si="54"/>
        <v/>
      </c>
      <c r="HN14" s="61" t="str">
        <f t="shared" si="55"/>
        <v/>
      </c>
      <c r="HO14" s="61" t="str">
        <f t="shared" si="56"/>
        <v/>
      </c>
      <c r="HP14" s="61" t="str">
        <f t="shared" si="57"/>
        <v/>
      </c>
      <c r="HQ14" s="61" t="str">
        <f t="shared" si="58"/>
        <v/>
      </c>
      <c r="HR14" s="61" t="str">
        <f t="shared" si="59"/>
        <v/>
      </c>
      <c r="HS14" s="61" t="str">
        <f t="shared" si="60"/>
        <v/>
      </c>
      <c r="HT14" s="61" t="str">
        <f t="shared" si="61"/>
        <v/>
      </c>
      <c r="HU14" s="61" t="str">
        <f t="shared" si="62"/>
        <v/>
      </c>
      <c r="HV14" s="61" t="str">
        <f t="shared" si="63"/>
        <v/>
      </c>
      <c r="HW14" s="61" t="str">
        <f t="shared" si="64"/>
        <v/>
      </c>
      <c r="HX14" s="61" t="str">
        <f t="shared" si="65"/>
        <v/>
      </c>
      <c r="HY14" s="61" t="str">
        <f t="shared" si="66"/>
        <v/>
      </c>
      <c r="HZ14" s="61" t="str">
        <f t="shared" si="67"/>
        <v/>
      </c>
    </row>
    <row r="15" ht="13.5" customHeight="1">
      <c r="A15" s="49" t="s">
        <v>369</v>
      </c>
      <c r="B15" s="80" t="s">
        <v>370</v>
      </c>
      <c r="C15" s="113" t="s">
        <v>371</v>
      </c>
      <c r="D15" s="80" t="s">
        <v>210</v>
      </c>
      <c r="E15" s="107">
        <f t="shared" si="3"/>
        <v>2</v>
      </c>
      <c r="F15" s="80" t="s">
        <v>245</v>
      </c>
      <c r="G15" s="80" t="s">
        <v>211</v>
      </c>
      <c r="H15" s="80">
        <v>2010.0</v>
      </c>
      <c r="J15" s="80" t="s">
        <v>372</v>
      </c>
      <c r="K15" s="61" t="str">
        <f t="shared" si="77"/>
        <v/>
      </c>
      <c r="L15" s="61" t="str">
        <f t="shared" si="78"/>
        <v/>
      </c>
      <c r="M15" s="61" t="str">
        <f t="shared" si="79"/>
        <v/>
      </c>
      <c r="N15" s="61">
        <f t="shared" si="80"/>
        <v>1</v>
      </c>
      <c r="O15" s="61" t="str">
        <f t="shared" si="81"/>
        <v/>
      </c>
      <c r="P15" s="61" t="str">
        <f t="shared" si="82"/>
        <v/>
      </c>
      <c r="Q15" s="61" t="b">
        <f t="shared" si="10"/>
        <v>1</v>
      </c>
      <c r="R15" s="61" t="b">
        <f t="shared" si="83"/>
        <v>1</v>
      </c>
      <c r="S15" s="80">
        <v>1.0</v>
      </c>
      <c r="T15" s="80">
        <v>1.0</v>
      </c>
      <c r="U15" s="80">
        <v>1.0</v>
      </c>
      <c r="V15" s="61" t="b">
        <f t="shared" si="84"/>
        <v>1</v>
      </c>
      <c r="W15" s="80">
        <v>1.0</v>
      </c>
      <c r="X15" s="80">
        <v>1.0</v>
      </c>
      <c r="Y15" s="80">
        <v>1.0</v>
      </c>
      <c r="AA15" s="61" t="str">
        <f t="shared" si="85"/>
        <v/>
      </c>
      <c r="AB15" s="61" t="str">
        <f t="shared" si="86"/>
        <v/>
      </c>
      <c r="AC15" s="80" t="s">
        <v>373</v>
      </c>
      <c r="AD15" s="80" t="s">
        <v>266</v>
      </c>
      <c r="AF15" s="61">
        <f>countif('Charts-SLR'!A:A,AD15)</f>
        <v>1</v>
      </c>
      <c r="AG15" s="80" t="s">
        <v>374</v>
      </c>
      <c r="AH15" s="61">
        <f t="shared" si="87"/>
        <v>0</v>
      </c>
      <c r="AI15" s="80" t="s">
        <v>216</v>
      </c>
      <c r="AJ15" s="80">
        <v>3.0</v>
      </c>
      <c r="AK15" s="108">
        <f t="shared" si="88"/>
        <v>1.5</v>
      </c>
      <c r="AL15" s="61" t="str">
        <f t="shared" si="89"/>
        <v/>
      </c>
      <c r="AM15" s="61" t="str">
        <f t="shared" si="90"/>
        <v/>
      </c>
      <c r="AN15" s="61">
        <f t="shared" si="91"/>
        <v>3</v>
      </c>
      <c r="AO15" s="61" t="str">
        <f t="shared" si="92"/>
        <v/>
      </c>
      <c r="AP15" s="61" t="str">
        <f t="shared" si="93"/>
        <v/>
      </c>
      <c r="AQ15" s="61" t="str">
        <f t="shared" si="94"/>
        <v/>
      </c>
      <c r="AR15" s="74"/>
      <c r="AS15" s="74"/>
      <c r="AT15" s="73" t="s">
        <v>217</v>
      </c>
      <c r="AU15" s="74"/>
      <c r="AV15" s="74"/>
      <c r="AW15" s="74"/>
      <c r="AX15" s="74"/>
      <c r="AY15" s="74"/>
      <c r="AZ15" s="74"/>
      <c r="BA15" s="74"/>
      <c r="BB15" s="109" t="str">
        <f t="shared" si="22"/>
        <v>ERR</v>
      </c>
      <c r="BC15" s="73" t="s">
        <v>217</v>
      </c>
      <c r="BD15" s="73" t="s">
        <v>217</v>
      </c>
      <c r="BE15" s="74"/>
      <c r="BF15" s="74"/>
      <c r="BG15" s="74"/>
      <c r="BH15" s="74"/>
      <c r="BI15" s="110">
        <f t="shared" si="95"/>
        <v>2</v>
      </c>
      <c r="BJ15" s="74"/>
      <c r="BK15" s="74"/>
      <c r="BL15" s="74"/>
      <c r="BM15" s="74"/>
      <c r="BN15" s="74"/>
      <c r="BO15" s="74"/>
      <c r="BP15" s="73" t="s">
        <v>217</v>
      </c>
      <c r="BQ15" s="74"/>
      <c r="BR15" s="74"/>
      <c r="BS15" s="74"/>
      <c r="BT15" s="74"/>
      <c r="BU15" s="74"/>
      <c r="BV15" s="73" t="s">
        <v>217</v>
      </c>
      <c r="BW15" s="74"/>
      <c r="BX15" s="74"/>
      <c r="BY15" s="73" t="s">
        <v>217</v>
      </c>
      <c r="BZ15" s="74"/>
      <c r="CA15" s="73" t="s">
        <v>217</v>
      </c>
      <c r="CB15" s="74"/>
      <c r="CC15" s="74"/>
      <c r="CD15" s="74"/>
      <c r="CE15" s="74"/>
      <c r="CF15" s="74"/>
      <c r="CG15" s="73" t="s">
        <v>217</v>
      </c>
      <c r="CH15" s="73" t="s">
        <v>217</v>
      </c>
      <c r="CI15" s="125" t="s">
        <v>217</v>
      </c>
      <c r="CJ15" s="110">
        <f t="shared" si="100"/>
        <v>1</v>
      </c>
      <c r="CK15" s="73" t="s">
        <v>217</v>
      </c>
      <c r="CL15" s="73" t="s">
        <v>217</v>
      </c>
      <c r="CM15" s="74"/>
      <c r="CN15" s="73" t="s">
        <v>217</v>
      </c>
      <c r="CO15" s="74"/>
      <c r="CP15" s="74"/>
      <c r="CQ15" s="74"/>
      <c r="DF15" s="80" t="s">
        <v>217</v>
      </c>
      <c r="DG15" s="61">
        <f t="shared" si="24"/>
        <v>1</v>
      </c>
      <c r="DI15" s="80" t="s">
        <v>217</v>
      </c>
      <c r="DM15" s="61">
        <f t="shared" si="96"/>
        <v>1</v>
      </c>
      <c r="DN15" s="80" t="s">
        <v>217</v>
      </c>
      <c r="DO15" s="80" t="s">
        <v>217</v>
      </c>
      <c r="DP15" s="61" t="str">
        <f t="shared" si="26"/>
        <v>both</v>
      </c>
      <c r="DQ15" s="61" t="str">
        <f t="shared" si="27"/>
        <v/>
      </c>
      <c r="DR15" s="61" t="str">
        <f t="shared" si="28"/>
        <v/>
      </c>
      <c r="DS15" s="74"/>
      <c r="DT15" s="74"/>
      <c r="DU15" s="74"/>
      <c r="DV15" s="74"/>
      <c r="DW15" s="73" t="s">
        <v>217</v>
      </c>
      <c r="DX15" s="74"/>
      <c r="DY15" s="110">
        <f t="shared" si="29"/>
        <v>1</v>
      </c>
      <c r="DZ15" s="74"/>
      <c r="EA15" s="74"/>
      <c r="EB15" s="73" t="s">
        <v>217</v>
      </c>
      <c r="EC15" s="74"/>
      <c r="ED15" s="74"/>
      <c r="EE15" s="110">
        <f t="shared" si="30"/>
        <v>1</v>
      </c>
      <c r="EF15" s="110" t="str">
        <f t="shared" si="70"/>
        <v>x</v>
      </c>
      <c r="EG15" s="61" t="str">
        <f t="shared" si="31"/>
        <v/>
      </c>
      <c r="EI15" s="80" t="s">
        <v>375</v>
      </c>
      <c r="EJ15" s="74"/>
      <c r="EK15" s="74"/>
      <c r="EL15" s="74"/>
      <c r="EM15" s="74"/>
      <c r="ES15" s="80" t="s">
        <v>376</v>
      </c>
      <c r="ET15" s="73">
        <v>0.0</v>
      </c>
      <c r="EU15" s="74"/>
      <c r="EV15" s="74"/>
      <c r="EW15" s="74"/>
      <c r="EX15" s="74"/>
      <c r="EZ15" s="80" t="s">
        <v>377</v>
      </c>
      <c r="FA15" s="80" t="s">
        <v>378</v>
      </c>
      <c r="FB15" s="80" t="s">
        <v>379</v>
      </c>
      <c r="FD15" s="80" t="s">
        <v>256</v>
      </c>
      <c r="FE15" s="97">
        <f t="shared" si="32"/>
        <v>3</v>
      </c>
      <c r="FF15" s="80">
        <v>1.0</v>
      </c>
      <c r="FG15" s="80">
        <v>1.0</v>
      </c>
      <c r="FH15" s="80">
        <v>1.0</v>
      </c>
      <c r="FI15" s="61">
        <f t="shared" si="101"/>
        <v>3</v>
      </c>
      <c r="FJ15" s="80">
        <v>0.0</v>
      </c>
      <c r="FK15" s="80">
        <v>0.0</v>
      </c>
      <c r="FL15" s="80" t="s">
        <v>189</v>
      </c>
      <c r="FM15" s="61" t="str">
        <f t="shared" si="102"/>
        <v>0.5</v>
      </c>
      <c r="FN15" s="61">
        <f t="shared" si="103"/>
        <v>0</v>
      </c>
      <c r="FP15" s="80" t="s">
        <v>217</v>
      </c>
      <c r="FQ15" s="61" t="str">
        <f t="shared" si="97"/>
        <v/>
      </c>
      <c r="FR15" s="80" t="s">
        <v>217</v>
      </c>
      <c r="FT15" s="61" t="str">
        <f t="shared" si="98"/>
        <v/>
      </c>
      <c r="FU15" s="61" t="str">
        <f t="shared" si="99"/>
        <v/>
      </c>
      <c r="FV15" s="73" t="s">
        <v>217</v>
      </c>
      <c r="FW15" s="80" t="s">
        <v>217</v>
      </c>
      <c r="GD15" s="80" t="s">
        <v>217</v>
      </c>
      <c r="GL15" s="80" t="s">
        <v>380</v>
      </c>
      <c r="GN15" s="80">
        <v>1.0</v>
      </c>
      <c r="GP15" s="112">
        <v>1329.0</v>
      </c>
      <c r="GR15" s="80" t="s">
        <v>217</v>
      </c>
      <c r="GU15" s="61" t="str">
        <f t="shared" si="36"/>
        <v/>
      </c>
      <c r="GV15" s="61" t="str">
        <f t="shared" si="37"/>
        <v/>
      </c>
      <c r="GW15" s="61" t="str">
        <f t="shared" si="38"/>
        <v/>
      </c>
      <c r="GX15" s="61" t="str">
        <f t="shared" si="39"/>
        <v/>
      </c>
      <c r="GY15" s="61" t="str">
        <f t="shared" si="40"/>
        <v/>
      </c>
      <c r="GZ15" s="61" t="str">
        <f t="shared" si="41"/>
        <v/>
      </c>
      <c r="HA15" s="61" t="str">
        <f t="shared" si="42"/>
        <v/>
      </c>
      <c r="HB15" s="61" t="str">
        <f t="shared" si="43"/>
        <v/>
      </c>
      <c r="HC15" s="61" t="str">
        <f t="shared" si="44"/>
        <v/>
      </c>
      <c r="HD15" s="61" t="str">
        <f t="shared" si="45"/>
        <v/>
      </c>
      <c r="HE15" s="61" t="str">
        <f t="shared" si="46"/>
        <v>x</v>
      </c>
      <c r="HF15" s="61" t="str">
        <f t="shared" si="47"/>
        <v/>
      </c>
      <c r="HG15" s="61" t="str">
        <f t="shared" si="48"/>
        <v/>
      </c>
      <c r="HH15" s="61" t="str">
        <f t="shared" si="49"/>
        <v/>
      </c>
      <c r="HI15" s="61" t="str">
        <f t="shared" si="50"/>
        <v/>
      </c>
      <c r="HJ15" s="61" t="str">
        <f t="shared" si="51"/>
        <v/>
      </c>
      <c r="HK15" s="61" t="str">
        <f t="shared" si="52"/>
        <v/>
      </c>
      <c r="HL15" s="61" t="str">
        <f t="shared" si="53"/>
        <v/>
      </c>
      <c r="HM15" s="61" t="str">
        <f t="shared" si="54"/>
        <v/>
      </c>
      <c r="HN15" s="61" t="str">
        <f t="shared" si="55"/>
        <v/>
      </c>
      <c r="HO15" s="61" t="str">
        <f t="shared" si="56"/>
        <v/>
      </c>
      <c r="HP15" s="61" t="str">
        <f t="shared" si="57"/>
        <v/>
      </c>
      <c r="HQ15" s="61" t="str">
        <f t="shared" si="58"/>
        <v/>
      </c>
      <c r="HR15" s="61" t="str">
        <f t="shared" si="59"/>
        <v/>
      </c>
      <c r="HS15" s="61" t="str">
        <f t="shared" si="60"/>
        <v>x</v>
      </c>
      <c r="HT15" s="61" t="str">
        <f t="shared" si="61"/>
        <v/>
      </c>
      <c r="HU15" s="61" t="str">
        <f t="shared" si="62"/>
        <v/>
      </c>
      <c r="HV15" s="61" t="str">
        <f t="shared" si="63"/>
        <v/>
      </c>
      <c r="HW15" s="61" t="str">
        <f t="shared" si="64"/>
        <v/>
      </c>
      <c r="HX15" s="61" t="str">
        <f t="shared" si="65"/>
        <v/>
      </c>
      <c r="HY15" s="61" t="str">
        <f t="shared" si="66"/>
        <v/>
      </c>
      <c r="HZ15" s="61" t="str">
        <f t="shared" si="67"/>
        <v/>
      </c>
    </row>
    <row r="16" ht="6.75" customHeight="1">
      <c r="A16" s="49" t="s">
        <v>381</v>
      </c>
      <c r="B16" s="87" t="s">
        <v>382</v>
      </c>
      <c r="C16" s="113" t="s">
        <v>383</v>
      </c>
      <c r="D16" s="80" t="s">
        <v>210</v>
      </c>
      <c r="E16" s="107">
        <f t="shared" si="3"/>
        <v>2</v>
      </c>
      <c r="F16" s="80" t="s">
        <v>245</v>
      </c>
      <c r="G16" s="80" t="s">
        <v>211</v>
      </c>
      <c r="H16" s="80">
        <v>2011.0</v>
      </c>
      <c r="J16" s="80" t="s">
        <v>384</v>
      </c>
      <c r="K16" s="61" t="str">
        <f t="shared" si="77"/>
        <v/>
      </c>
      <c r="L16" s="61" t="str">
        <f t="shared" si="78"/>
        <v/>
      </c>
      <c r="M16" s="61" t="str">
        <f t="shared" si="79"/>
        <v/>
      </c>
      <c r="N16" s="61">
        <f t="shared" si="80"/>
        <v>1</v>
      </c>
      <c r="O16" s="61" t="str">
        <f t="shared" si="81"/>
        <v/>
      </c>
      <c r="P16" s="61" t="str">
        <f t="shared" si="82"/>
        <v/>
      </c>
      <c r="Q16" s="61" t="b">
        <f t="shared" si="10"/>
        <v>1</v>
      </c>
      <c r="R16" s="61" t="b">
        <f t="shared" si="83"/>
        <v>1</v>
      </c>
      <c r="S16" s="80">
        <v>1.0</v>
      </c>
      <c r="T16" s="80">
        <v>1.0</v>
      </c>
      <c r="U16" s="80">
        <v>0.0</v>
      </c>
      <c r="V16" s="61" t="b">
        <f t="shared" si="84"/>
        <v>1</v>
      </c>
      <c r="W16" s="80">
        <v>1.0</v>
      </c>
      <c r="X16" s="80">
        <v>1.0</v>
      </c>
      <c r="Y16" s="80">
        <v>1.0</v>
      </c>
      <c r="Z16" s="80" t="s">
        <v>385</v>
      </c>
      <c r="AA16" s="61" t="str">
        <f t="shared" si="85"/>
        <v/>
      </c>
      <c r="AB16" s="61" t="str">
        <f t="shared" si="86"/>
        <v>Mesbah:icse2011, </v>
      </c>
      <c r="AC16" s="80" t="s">
        <v>386</v>
      </c>
      <c r="AD16" s="80" t="s">
        <v>387</v>
      </c>
      <c r="AE16" s="80" t="s">
        <v>217</v>
      </c>
      <c r="AF16" s="80">
        <v>1.0</v>
      </c>
      <c r="AG16" s="80" t="s">
        <v>249</v>
      </c>
      <c r="AH16" s="61">
        <f t="shared" si="87"/>
        <v>0</v>
      </c>
      <c r="AI16" s="80" t="s">
        <v>250</v>
      </c>
      <c r="AJ16" s="80">
        <v>6.0</v>
      </c>
      <c r="AK16" s="108">
        <f t="shared" si="88"/>
        <v>6</v>
      </c>
      <c r="AL16" s="61" t="str">
        <f t="shared" si="89"/>
        <v/>
      </c>
      <c r="AM16" s="61">
        <f t="shared" si="90"/>
        <v>6</v>
      </c>
      <c r="AN16" s="61" t="str">
        <f t="shared" si="91"/>
        <v/>
      </c>
      <c r="AO16" s="61" t="str">
        <f t="shared" si="92"/>
        <v/>
      </c>
      <c r="AP16" s="61" t="str">
        <f t="shared" si="93"/>
        <v/>
      </c>
      <c r="AQ16" s="61" t="str">
        <f t="shared" si="94"/>
        <v/>
      </c>
      <c r="AR16" s="74"/>
      <c r="AS16" s="74"/>
      <c r="AT16" s="74"/>
      <c r="AU16" s="74"/>
      <c r="AV16" s="74"/>
      <c r="AW16" s="73" t="s">
        <v>217</v>
      </c>
      <c r="AX16" s="74"/>
      <c r="AY16" s="74"/>
      <c r="AZ16" s="74"/>
      <c r="BA16" s="74"/>
      <c r="BB16" s="109" t="str">
        <f t="shared" si="22"/>
        <v/>
      </c>
      <c r="BC16" s="73" t="s">
        <v>217</v>
      </c>
      <c r="BD16" s="73" t="s">
        <v>217</v>
      </c>
      <c r="BE16" s="73" t="s">
        <v>217</v>
      </c>
      <c r="BF16" s="74"/>
      <c r="BG16" s="73" t="s">
        <v>217</v>
      </c>
      <c r="BH16" s="74"/>
      <c r="BI16" s="110">
        <f t="shared" si="95"/>
        <v>4</v>
      </c>
      <c r="BJ16" s="73" t="s">
        <v>217</v>
      </c>
      <c r="BK16" s="74"/>
      <c r="BL16" s="74"/>
      <c r="BM16" s="74"/>
      <c r="BN16" s="102" t="s">
        <v>218</v>
      </c>
      <c r="BO16" s="74"/>
      <c r="BP16" s="73" t="s">
        <v>217</v>
      </c>
      <c r="BQ16" s="74"/>
      <c r="BR16" s="74"/>
      <c r="BS16" s="74"/>
      <c r="BT16" s="74"/>
      <c r="BU16" s="74"/>
      <c r="BV16" s="73" t="s">
        <v>217</v>
      </c>
      <c r="BW16" s="74"/>
      <c r="BX16" s="74"/>
      <c r="BY16" s="73" t="s">
        <v>217</v>
      </c>
      <c r="BZ16" s="74"/>
      <c r="CA16" s="73" t="s">
        <v>217</v>
      </c>
      <c r="CB16" s="73" t="s">
        <v>217</v>
      </c>
      <c r="CC16" s="74"/>
      <c r="CD16" s="74"/>
      <c r="CE16" s="74"/>
      <c r="CF16" s="74"/>
      <c r="CG16" s="73" t="s">
        <v>217</v>
      </c>
      <c r="CH16" s="74"/>
      <c r="CI16" s="111" t="str">
        <f t="shared" ref="CI16:CI18" si="104">if(and(CG16="x",CH16="x"), "x", "")</f>
        <v/>
      </c>
      <c r="CJ16" s="110">
        <f t="shared" si="100"/>
        <v>1</v>
      </c>
      <c r="CK16" s="73" t="s">
        <v>217</v>
      </c>
      <c r="CL16" s="74"/>
      <c r="CM16" s="73" t="s">
        <v>217</v>
      </c>
      <c r="CN16" s="74"/>
      <c r="CO16" s="74"/>
      <c r="CP16" s="74"/>
      <c r="CQ16" s="74"/>
      <c r="CS16" s="80" t="s">
        <v>217</v>
      </c>
      <c r="CZ16" s="80" t="s">
        <v>217</v>
      </c>
      <c r="DG16" s="61">
        <f t="shared" si="24"/>
        <v>1</v>
      </c>
      <c r="DH16" s="80" t="s">
        <v>217</v>
      </c>
      <c r="DJ16" s="80" t="s">
        <v>217</v>
      </c>
      <c r="DL16" s="80" t="s">
        <v>217</v>
      </c>
      <c r="DM16" s="61">
        <f t="shared" si="96"/>
        <v>3</v>
      </c>
      <c r="DO16" s="80" t="s">
        <v>217</v>
      </c>
      <c r="DP16" s="61" t="str">
        <f t="shared" si="26"/>
        <v/>
      </c>
      <c r="DQ16" s="61" t="str">
        <f t="shared" si="27"/>
        <v/>
      </c>
      <c r="DR16" s="61" t="str">
        <f t="shared" si="28"/>
        <v>FA</v>
      </c>
      <c r="DS16" s="74"/>
      <c r="DT16" s="74"/>
      <c r="DU16" s="74"/>
      <c r="DV16" s="73" t="s">
        <v>217</v>
      </c>
      <c r="DW16" s="74"/>
      <c r="DX16" s="74"/>
      <c r="DY16" s="110">
        <f t="shared" si="29"/>
        <v>1</v>
      </c>
      <c r="DZ16" s="74"/>
      <c r="EA16" s="73" t="s">
        <v>217</v>
      </c>
      <c r="EB16" s="74"/>
      <c r="EC16" s="74"/>
      <c r="ED16" s="74"/>
      <c r="EE16" s="110">
        <f t="shared" si="30"/>
        <v>1</v>
      </c>
      <c r="EF16" s="110" t="str">
        <f t="shared" si="70"/>
        <v>x</v>
      </c>
      <c r="EG16" s="61" t="str">
        <f t="shared" si="31"/>
        <v/>
      </c>
      <c r="EH16" s="80" t="s">
        <v>217</v>
      </c>
      <c r="EI16" s="80" t="s">
        <v>388</v>
      </c>
      <c r="EJ16" s="74"/>
      <c r="EK16" s="74"/>
      <c r="EL16" s="74"/>
      <c r="EM16" s="74"/>
      <c r="EO16" s="80" t="s">
        <v>217</v>
      </c>
      <c r="ES16" s="80" t="s">
        <v>389</v>
      </c>
      <c r="ET16" s="73">
        <v>3.0</v>
      </c>
      <c r="EU16" s="74"/>
      <c r="EV16" s="74"/>
      <c r="EW16" s="74"/>
      <c r="EX16" s="74"/>
      <c r="EZ16" s="80" t="s">
        <v>390</v>
      </c>
      <c r="FA16" s="80" t="s">
        <v>391</v>
      </c>
      <c r="FD16" s="80" t="s">
        <v>256</v>
      </c>
      <c r="FE16" s="97">
        <f t="shared" si="32"/>
        <v>2</v>
      </c>
      <c r="FF16" s="80">
        <v>1.0</v>
      </c>
      <c r="FG16" s="80">
        <v>1.0</v>
      </c>
      <c r="FH16" s="80">
        <v>0.5</v>
      </c>
      <c r="FI16" s="61">
        <f t="shared" si="101"/>
        <v>2.5</v>
      </c>
      <c r="FJ16" s="80">
        <v>1.0</v>
      </c>
      <c r="FK16" s="80">
        <v>0.0</v>
      </c>
      <c r="FL16" s="80" t="s">
        <v>189</v>
      </c>
      <c r="FM16" s="61" t="str">
        <f t="shared" si="102"/>
        <v>1</v>
      </c>
      <c r="FN16" s="61">
        <f t="shared" si="103"/>
        <v>1</v>
      </c>
      <c r="FP16" s="80" t="s">
        <v>217</v>
      </c>
      <c r="FQ16" s="61" t="str">
        <f t="shared" si="97"/>
        <v/>
      </c>
      <c r="FS16" s="80" t="s">
        <v>217</v>
      </c>
      <c r="FT16" s="61" t="str">
        <f t="shared" si="98"/>
        <v/>
      </c>
      <c r="FU16" s="61" t="str">
        <f t="shared" si="99"/>
        <v/>
      </c>
      <c r="FV16" s="74"/>
      <c r="FX16" s="80" t="s">
        <v>217</v>
      </c>
      <c r="FY16" s="80" t="s">
        <v>217</v>
      </c>
      <c r="GI16" s="80" t="s">
        <v>217</v>
      </c>
      <c r="GL16" s="80" t="s">
        <v>392</v>
      </c>
      <c r="GN16" s="80">
        <v>5.0</v>
      </c>
      <c r="GO16" s="80" t="s">
        <v>393</v>
      </c>
      <c r="GP16" s="112">
        <v>363538.0</v>
      </c>
      <c r="GS16" s="80" t="s">
        <v>217</v>
      </c>
      <c r="GT16" s="80" t="s">
        <v>217</v>
      </c>
      <c r="GU16" s="61" t="str">
        <f t="shared" si="36"/>
        <v/>
      </c>
      <c r="GV16" s="61" t="str">
        <f t="shared" si="37"/>
        <v/>
      </c>
      <c r="GW16" s="61" t="str">
        <f t="shared" si="38"/>
        <v/>
      </c>
      <c r="GX16" s="61" t="str">
        <f t="shared" si="39"/>
        <v/>
      </c>
      <c r="GY16" s="61" t="str">
        <f t="shared" si="40"/>
        <v>x</v>
      </c>
      <c r="GZ16" s="61" t="str">
        <f t="shared" si="41"/>
        <v/>
      </c>
      <c r="HA16" s="61" t="str">
        <f t="shared" si="42"/>
        <v/>
      </c>
      <c r="HB16" s="61" t="str">
        <f t="shared" si="43"/>
        <v/>
      </c>
      <c r="HC16" s="61" t="str">
        <f t="shared" si="44"/>
        <v/>
      </c>
      <c r="HD16" s="61" t="str">
        <f t="shared" si="45"/>
        <v/>
      </c>
      <c r="HE16" s="61" t="str">
        <f t="shared" si="46"/>
        <v/>
      </c>
      <c r="HF16" s="61" t="str">
        <f t="shared" si="47"/>
        <v/>
      </c>
      <c r="HG16" s="61" t="str">
        <f t="shared" si="48"/>
        <v/>
      </c>
      <c r="HH16" s="61" t="str">
        <f t="shared" si="49"/>
        <v/>
      </c>
      <c r="HI16" s="61" t="str">
        <f t="shared" si="50"/>
        <v/>
      </c>
      <c r="HJ16" s="61" t="str">
        <f t="shared" si="51"/>
        <v>x</v>
      </c>
      <c r="HK16" s="61" t="str">
        <f t="shared" si="52"/>
        <v/>
      </c>
      <c r="HL16" s="61" t="str">
        <f t="shared" si="53"/>
        <v/>
      </c>
      <c r="HM16" s="61" t="str">
        <f t="shared" si="54"/>
        <v/>
      </c>
      <c r="HN16" s="61" t="str">
        <f t="shared" si="55"/>
        <v/>
      </c>
      <c r="HO16" s="61" t="str">
        <f t="shared" si="56"/>
        <v/>
      </c>
      <c r="HP16" s="61" t="str">
        <f t="shared" si="57"/>
        <v/>
      </c>
      <c r="HQ16" s="61" t="str">
        <f t="shared" si="58"/>
        <v/>
      </c>
      <c r="HR16" s="61" t="str">
        <f t="shared" si="59"/>
        <v/>
      </c>
      <c r="HS16" s="61" t="str">
        <f t="shared" si="60"/>
        <v/>
      </c>
      <c r="HT16" s="61" t="str">
        <f t="shared" si="61"/>
        <v/>
      </c>
      <c r="HU16" s="61" t="str">
        <f t="shared" si="62"/>
        <v/>
      </c>
      <c r="HV16" s="61" t="str">
        <f t="shared" si="63"/>
        <v/>
      </c>
      <c r="HW16" s="61" t="str">
        <f t="shared" si="64"/>
        <v/>
      </c>
      <c r="HX16" s="61" t="str">
        <f t="shared" si="65"/>
        <v/>
      </c>
      <c r="HY16" s="61" t="str">
        <f t="shared" si="66"/>
        <v/>
      </c>
      <c r="HZ16" s="61" t="str">
        <f t="shared" si="67"/>
        <v/>
      </c>
    </row>
    <row r="17" ht="1.5" customHeight="1">
      <c r="A17" s="49" t="s">
        <v>394</v>
      </c>
      <c r="B17" s="114" t="s">
        <v>395</v>
      </c>
      <c r="C17" s="113" t="s">
        <v>396</v>
      </c>
      <c r="D17" s="80" t="s">
        <v>245</v>
      </c>
      <c r="E17" s="107">
        <f t="shared" si="3"/>
        <v>2</v>
      </c>
      <c r="F17" s="80" t="s">
        <v>209</v>
      </c>
      <c r="G17" s="80" t="s">
        <v>211</v>
      </c>
      <c r="H17" s="80">
        <v>2008.0</v>
      </c>
      <c r="J17" s="80" t="s">
        <v>397</v>
      </c>
      <c r="K17" s="61" t="str">
        <f t="shared" si="77"/>
        <v/>
      </c>
      <c r="L17" s="61" t="str">
        <f t="shared" si="78"/>
        <v/>
      </c>
      <c r="M17" s="61" t="str">
        <f t="shared" si="79"/>
        <v/>
      </c>
      <c r="N17" s="61" t="str">
        <f t="shared" si="80"/>
        <v/>
      </c>
      <c r="O17" s="61" t="str">
        <f t="shared" si="81"/>
        <v/>
      </c>
      <c r="P17" s="61">
        <f t="shared" si="82"/>
        <v>1</v>
      </c>
      <c r="Q17" s="61" t="b">
        <f t="shared" si="10"/>
        <v>1</v>
      </c>
      <c r="R17" s="61" t="b">
        <f t="shared" si="83"/>
        <v>1</v>
      </c>
      <c r="S17" s="80">
        <v>1.0</v>
      </c>
      <c r="T17" s="80">
        <v>1.0</v>
      </c>
      <c r="V17" s="61" t="b">
        <f t="shared" si="84"/>
        <v>1</v>
      </c>
      <c r="W17" s="80">
        <v>1.0</v>
      </c>
      <c r="X17" s="80">
        <v>1.0</v>
      </c>
      <c r="Z17" s="80" t="s">
        <v>398</v>
      </c>
      <c r="AA17" s="61" t="str">
        <f t="shared" si="85"/>
        <v/>
      </c>
      <c r="AB17" s="61" t="str">
        <f t="shared" si="86"/>
        <v/>
      </c>
      <c r="AC17" s="80" t="s">
        <v>399</v>
      </c>
      <c r="AD17" s="80" t="s">
        <v>266</v>
      </c>
      <c r="AF17" s="61">
        <f>countif('Charts-SLR'!A:A,AD17)</f>
        <v>1</v>
      </c>
      <c r="AG17" s="80" t="s">
        <v>400</v>
      </c>
      <c r="AH17" s="61">
        <f t="shared" si="87"/>
        <v>0</v>
      </c>
      <c r="AI17" s="80" t="s">
        <v>268</v>
      </c>
      <c r="AJ17" s="80">
        <v>14.0</v>
      </c>
      <c r="AK17" s="108">
        <f t="shared" si="88"/>
        <v>3.5</v>
      </c>
      <c r="AL17" s="61" t="str">
        <f t="shared" si="89"/>
        <v/>
      </c>
      <c r="AM17" s="61" t="str">
        <f t="shared" si="90"/>
        <v/>
      </c>
      <c r="AN17" s="61" t="str">
        <f t="shared" si="91"/>
        <v/>
      </c>
      <c r="AO17" s="61" t="str">
        <f t="shared" si="92"/>
        <v/>
      </c>
      <c r="AP17" s="61">
        <f t="shared" si="93"/>
        <v>14</v>
      </c>
      <c r="AQ17" s="61" t="str">
        <f t="shared" si="94"/>
        <v/>
      </c>
      <c r="AR17" s="74"/>
      <c r="AS17" s="74"/>
      <c r="AT17" s="74"/>
      <c r="AU17" s="74"/>
      <c r="AV17" s="74"/>
      <c r="AW17" s="74"/>
      <c r="AX17" s="74"/>
      <c r="AY17" s="74"/>
      <c r="AZ17" s="74"/>
      <c r="BA17" s="73" t="s">
        <v>217</v>
      </c>
      <c r="BB17" s="109" t="str">
        <f t="shared" si="22"/>
        <v/>
      </c>
      <c r="BC17" s="73" t="s">
        <v>217</v>
      </c>
      <c r="BD17" s="73" t="s">
        <v>217</v>
      </c>
      <c r="BE17" s="74"/>
      <c r="BF17" s="74"/>
      <c r="BG17" s="74"/>
      <c r="BH17" s="74"/>
      <c r="BI17" s="110">
        <f t="shared" si="95"/>
        <v>2</v>
      </c>
      <c r="BJ17" s="74"/>
      <c r="BK17" s="74"/>
      <c r="BL17" s="74"/>
      <c r="BM17" s="74"/>
      <c r="BN17" s="74"/>
      <c r="BO17" s="74"/>
      <c r="BP17" s="73" t="s">
        <v>217</v>
      </c>
      <c r="BQ17" s="74"/>
      <c r="BR17" s="74"/>
      <c r="BS17" s="74"/>
      <c r="BT17" s="74"/>
      <c r="BU17" s="74"/>
      <c r="BV17" s="74"/>
      <c r="BW17" s="73" t="s">
        <v>217</v>
      </c>
      <c r="BX17" s="74"/>
      <c r="BY17" s="74"/>
      <c r="BZ17" s="74"/>
      <c r="CA17" s="74"/>
      <c r="CB17" s="74"/>
      <c r="CC17" s="74"/>
      <c r="CD17" s="74"/>
      <c r="CE17" s="73" t="s">
        <v>217</v>
      </c>
      <c r="CF17" s="73" t="s">
        <v>401</v>
      </c>
      <c r="CG17" s="74"/>
      <c r="CH17" s="73" t="s">
        <v>217</v>
      </c>
      <c r="CI17" s="111" t="str">
        <f t="shared" si="104"/>
        <v/>
      </c>
      <c r="CJ17" s="110">
        <f t="shared" si="100"/>
        <v>2</v>
      </c>
      <c r="CL17" s="73" t="s">
        <v>217</v>
      </c>
      <c r="CM17" s="74"/>
      <c r="CN17" s="73" t="s">
        <v>217</v>
      </c>
      <c r="CO17" s="74"/>
      <c r="CP17" s="73" t="s">
        <v>217</v>
      </c>
      <c r="CQ17" s="74"/>
      <c r="CX17" s="80" t="s">
        <v>217</v>
      </c>
      <c r="DG17" s="61">
        <f t="shared" si="24"/>
        <v>1</v>
      </c>
      <c r="DL17" s="80" t="s">
        <v>217</v>
      </c>
      <c r="DM17" s="61">
        <f t="shared" si="96"/>
        <v>1</v>
      </c>
      <c r="DO17" s="80" t="s">
        <v>217</v>
      </c>
      <c r="DP17" s="61" t="str">
        <f t="shared" si="26"/>
        <v/>
      </c>
      <c r="DQ17" s="61" t="str">
        <f t="shared" si="27"/>
        <v/>
      </c>
      <c r="DR17" s="61" t="str">
        <f t="shared" si="28"/>
        <v>FA</v>
      </c>
      <c r="DS17" s="74"/>
      <c r="DT17" s="74"/>
      <c r="DU17" s="74"/>
      <c r="DV17" s="73" t="s">
        <v>217</v>
      </c>
      <c r="DW17" s="74"/>
      <c r="DX17" s="74"/>
      <c r="DY17" s="110">
        <f t="shared" si="29"/>
        <v>1</v>
      </c>
      <c r="DZ17" s="74"/>
      <c r="EA17" s="73" t="s">
        <v>217</v>
      </c>
      <c r="EB17" s="74"/>
      <c r="EC17" s="74"/>
      <c r="ED17" s="74"/>
      <c r="EE17" s="110">
        <f t="shared" si="30"/>
        <v>1</v>
      </c>
      <c r="EF17" s="110" t="str">
        <f t="shared" si="70"/>
        <v>x</v>
      </c>
      <c r="EG17" s="61" t="str">
        <f t="shared" si="31"/>
        <v/>
      </c>
      <c r="EI17" s="80" t="s">
        <v>402</v>
      </c>
      <c r="EJ17" s="74"/>
      <c r="EK17" s="74"/>
      <c r="EL17" s="74"/>
      <c r="EM17" s="74"/>
      <c r="EO17" s="80" t="s">
        <v>217</v>
      </c>
      <c r="EP17" s="80" t="s">
        <v>217</v>
      </c>
      <c r="ES17" s="80" t="s">
        <v>403</v>
      </c>
      <c r="ET17" s="73">
        <v>2.0</v>
      </c>
      <c r="EU17" s="74"/>
      <c r="EV17" s="74"/>
      <c r="EW17" s="74"/>
      <c r="EX17" s="74"/>
      <c r="EZ17" s="80" t="s">
        <v>404</v>
      </c>
      <c r="FE17" s="97">
        <f t="shared" si="32"/>
        <v>0</v>
      </c>
      <c r="FF17" s="80">
        <v>1.0</v>
      </c>
      <c r="FG17" s="80">
        <v>1.0</v>
      </c>
      <c r="FH17" s="80">
        <v>0.0</v>
      </c>
      <c r="FI17" s="61">
        <f t="shared" si="101"/>
        <v>2</v>
      </c>
      <c r="FJ17" s="80">
        <v>0.0</v>
      </c>
      <c r="FK17" s="80">
        <v>0.0</v>
      </c>
      <c r="FL17" s="80" t="s">
        <v>189</v>
      </c>
      <c r="FM17" s="61" t="str">
        <f t="shared" si="102"/>
        <v>1</v>
      </c>
      <c r="FN17" s="61">
        <f t="shared" si="103"/>
        <v>0</v>
      </c>
      <c r="FP17" s="80" t="s">
        <v>217</v>
      </c>
      <c r="FQ17" s="61" t="str">
        <f t="shared" si="97"/>
        <v/>
      </c>
      <c r="FR17" s="80" t="s">
        <v>217</v>
      </c>
      <c r="FT17" s="61" t="str">
        <f t="shared" si="98"/>
        <v/>
      </c>
      <c r="FU17" s="61" t="str">
        <f t="shared" si="99"/>
        <v/>
      </c>
      <c r="FV17" s="74"/>
      <c r="FZ17" s="80" t="s">
        <v>217</v>
      </c>
      <c r="GD17" s="80" t="s">
        <v>217</v>
      </c>
      <c r="GL17" s="80" t="s">
        <v>405</v>
      </c>
      <c r="GN17" s="80">
        <v>4.0</v>
      </c>
      <c r="GO17" s="80" t="s">
        <v>406</v>
      </c>
      <c r="GP17" s="112">
        <v>76256.0</v>
      </c>
      <c r="GQ17" s="80" t="s">
        <v>407</v>
      </c>
      <c r="GS17" s="80" t="s">
        <v>217</v>
      </c>
      <c r="GU17" s="61" t="str">
        <f t="shared" si="36"/>
        <v/>
      </c>
      <c r="GV17" s="61" t="str">
        <f t="shared" si="37"/>
        <v/>
      </c>
      <c r="GW17" s="61" t="str">
        <f t="shared" si="38"/>
        <v/>
      </c>
      <c r="GX17" s="61" t="str">
        <f t="shared" si="39"/>
        <v/>
      </c>
      <c r="GY17" s="61" t="str">
        <f t="shared" si="40"/>
        <v/>
      </c>
      <c r="GZ17" s="61" t="str">
        <f t="shared" si="41"/>
        <v/>
      </c>
      <c r="HA17" s="61" t="str">
        <f t="shared" si="42"/>
        <v/>
      </c>
      <c r="HB17" s="61" t="str">
        <f t="shared" si="43"/>
        <v/>
      </c>
      <c r="HC17" s="61" t="str">
        <f t="shared" si="44"/>
        <v/>
      </c>
      <c r="HD17" s="61" t="str">
        <f t="shared" si="45"/>
        <v/>
      </c>
      <c r="HE17" s="61" t="str">
        <f t="shared" si="46"/>
        <v/>
      </c>
      <c r="HF17" s="61" t="str">
        <f t="shared" si="47"/>
        <v/>
      </c>
      <c r="HG17" s="61" t="str">
        <f t="shared" si="48"/>
        <v/>
      </c>
      <c r="HH17" s="61" t="str">
        <f t="shared" si="49"/>
        <v/>
      </c>
      <c r="HI17" s="61" t="str">
        <f t="shared" si="50"/>
        <v/>
      </c>
      <c r="HJ17" s="61" t="str">
        <f t="shared" si="51"/>
        <v/>
      </c>
      <c r="HK17" s="61" t="str">
        <f t="shared" si="52"/>
        <v/>
      </c>
      <c r="HL17" s="61" t="str">
        <f t="shared" si="53"/>
        <v/>
      </c>
      <c r="HM17" s="61" t="str">
        <f t="shared" si="54"/>
        <v/>
      </c>
      <c r="HN17" s="61" t="str">
        <f t="shared" si="55"/>
        <v/>
      </c>
      <c r="HO17" s="61" t="str">
        <f t="shared" si="56"/>
        <v/>
      </c>
      <c r="HP17" s="61" t="str">
        <f t="shared" si="57"/>
        <v/>
      </c>
      <c r="HQ17" s="61" t="str">
        <f t="shared" si="58"/>
        <v/>
      </c>
      <c r="HR17" s="61" t="str">
        <f t="shared" si="59"/>
        <v/>
      </c>
      <c r="HS17" s="61" t="str">
        <f t="shared" si="60"/>
        <v/>
      </c>
      <c r="HT17" s="61" t="str">
        <f t="shared" si="61"/>
        <v/>
      </c>
      <c r="HU17" s="61" t="str">
        <f t="shared" si="62"/>
        <v/>
      </c>
      <c r="HV17" s="61" t="str">
        <f t="shared" si="63"/>
        <v/>
      </c>
      <c r="HW17" s="61" t="str">
        <f t="shared" si="64"/>
        <v/>
      </c>
      <c r="HX17" s="61" t="str">
        <f t="shared" si="65"/>
        <v/>
      </c>
      <c r="HY17" s="61" t="str">
        <f t="shared" si="66"/>
        <v/>
      </c>
      <c r="HZ17" s="61" t="str">
        <f t="shared" si="67"/>
        <v>x</v>
      </c>
    </row>
    <row r="18" ht="1.5" customHeight="1">
      <c r="A18" s="49" t="s">
        <v>408</v>
      </c>
      <c r="B18" s="80" t="s">
        <v>409</v>
      </c>
      <c r="C18" s="113" t="s">
        <v>410</v>
      </c>
      <c r="D18" s="80" t="s">
        <v>245</v>
      </c>
      <c r="E18" s="107">
        <f t="shared" si="3"/>
        <v>2</v>
      </c>
      <c r="F18" s="80" t="s">
        <v>209</v>
      </c>
      <c r="G18" s="80" t="s">
        <v>211</v>
      </c>
      <c r="H18" s="80">
        <v>2007.0</v>
      </c>
      <c r="J18" s="80" t="s">
        <v>411</v>
      </c>
      <c r="K18" s="61" t="str">
        <f t="shared" si="77"/>
        <v/>
      </c>
      <c r="L18" s="61" t="str">
        <f t="shared" si="78"/>
        <v/>
      </c>
      <c r="M18" s="61" t="str">
        <f t="shared" si="79"/>
        <v/>
      </c>
      <c r="N18" s="61" t="str">
        <f t="shared" si="80"/>
        <v/>
      </c>
      <c r="O18" s="61" t="str">
        <f t="shared" si="81"/>
        <v/>
      </c>
      <c r="P18" s="61">
        <f t="shared" si="82"/>
        <v>1</v>
      </c>
      <c r="Q18" s="61" t="b">
        <f t="shared" si="10"/>
        <v>1</v>
      </c>
      <c r="R18" s="61" t="b">
        <f t="shared" si="83"/>
        <v>1</v>
      </c>
      <c r="S18" s="80">
        <v>1.0</v>
      </c>
      <c r="T18" s="80">
        <v>1.0</v>
      </c>
      <c r="U18" s="80">
        <v>1.0</v>
      </c>
      <c r="V18" s="61" t="b">
        <f t="shared" si="84"/>
        <v>1</v>
      </c>
      <c r="W18" s="80">
        <v>1.0</v>
      </c>
      <c r="X18" s="80">
        <v>1.0</v>
      </c>
      <c r="Y18" s="80">
        <v>1.0</v>
      </c>
      <c r="AA18" s="61" t="str">
        <f t="shared" si="85"/>
        <v>Sprenkle:issre07, </v>
      </c>
      <c r="AB18" s="61" t="str">
        <f t="shared" si="86"/>
        <v/>
      </c>
      <c r="AC18" s="80" t="s">
        <v>412</v>
      </c>
      <c r="AD18" s="80" t="s">
        <v>266</v>
      </c>
      <c r="AF18" s="61">
        <f>countif('Charts-SLR'!A:A,AD18)</f>
        <v>1</v>
      </c>
      <c r="AG18" s="80" t="s">
        <v>413</v>
      </c>
      <c r="AH18" s="61">
        <f t="shared" si="87"/>
        <v>0</v>
      </c>
      <c r="AI18" s="80" t="s">
        <v>250</v>
      </c>
      <c r="AJ18" s="80">
        <v>23.0</v>
      </c>
      <c r="AK18" s="108">
        <f t="shared" si="88"/>
        <v>4.6</v>
      </c>
      <c r="AL18" s="61" t="str">
        <f t="shared" si="89"/>
        <v/>
      </c>
      <c r="AM18" s="61">
        <f t="shared" si="90"/>
        <v>23</v>
      </c>
      <c r="AN18" s="61" t="str">
        <f t="shared" si="91"/>
        <v/>
      </c>
      <c r="AO18" s="61" t="str">
        <f t="shared" si="92"/>
        <v/>
      </c>
      <c r="AP18" s="61" t="str">
        <f t="shared" si="93"/>
        <v/>
      </c>
      <c r="AQ18" s="61" t="str">
        <f t="shared" si="94"/>
        <v>Sprenkle:issre07, </v>
      </c>
      <c r="AR18" s="74"/>
      <c r="AS18" s="74"/>
      <c r="AT18" s="74"/>
      <c r="AU18" s="74"/>
      <c r="AV18" s="74"/>
      <c r="AW18" s="74"/>
      <c r="AX18" s="74"/>
      <c r="AY18" s="73" t="s">
        <v>217</v>
      </c>
      <c r="AZ18" s="74"/>
      <c r="BA18" s="74"/>
      <c r="BB18" s="109" t="str">
        <f t="shared" si="22"/>
        <v/>
      </c>
      <c r="BC18" s="74"/>
      <c r="BD18" s="73" t="s">
        <v>217</v>
      </c>
      <c r="BE18" s="74"/>
      <c r="BF18" s="74"/>
      <c r="BG18" s="74"/>
      <c r="BH18" s="73" t="s">
        <v>217</v>
      </c>
      <c r="BI18" s="110">
        <f t="shared" si="95"/>
        <v>2</v>
      </c>
      <c r="BJ18" s="74"/>
      <c r="BK18" s="74"/>
      <c r="BL18" s="74"/>
      <c r="BM18" s="74"/>
      <c r="BN18" s="74"/>
      <c r="BO18" s="74"/>
      <c r="BP18" s="73" t="s">
        <v>217</v>
      </c>
      <c r="BQ18" s="74"/>
      <c r="BR18" s="74"/>
      <c r="BS18" s="74"/>
      <c r="BT18" s="74"/>
      <c r="BU18" s="74"/>
      <c r="BV18" s="74"/>
      <c r="BW18" s="74"/>
      <c r="BX18" s="73" t="s">
        <v>217</v>
      </c>
      <c r="BY18" s="74"/>
      <c r="BZ18" s="74"/>
      <c r="CA18" s="74"/>
      <c r="CB18" s="74"/>
      <c r="CC18" s="73" t="s">
        <v>217</v>
      </c>
      <c r="CD18" s="74"/>
      <c r="CE18" s="74"/>
      <c r="CF18" s="74"/>
      <c r="CG18" s="74"/>
      <c r="CH18" s="73" t="s">
        <v>217</v>
      </c>
      <c r="CI18" s="111" t="str">
        <f t="shared" si="104"/>
        <v/>
      </c>
      <c r="CJ18" s="110">
        <f t="shared" si="100"/>
        <v>2</v>
      </c>
      <c r="CK18" s="73" t="s">
        <v>217</v>
      </c>
      <c r="CL18" s="74"/>
      <c r="CM18" s="74"/>
      <c r="CN18" s="74"/>
      <c r="CO18" s="74"/>
      <c r="CP18" s="74"/>
      <c r="CQ18" s="74"/>
      <c r="CU18" s="80" t="s">
        <v>217</v>
      </c>
      <c r="CX18" s="80" t="s">
        <v>217</v>
      </c>
      <c r="DG18" s="61">
        <f t="shared" si="24"/>
        <v>1</v>
      </c>
      <c r="DJ18" s="80" t="s">
        <v>217</v>
      </c>
      <c r="DM18" s="61">
        <f t="shared" si="96"/>
        <v>1</v>
      </c>
      <c r="DO18" s="80" t="s">
        <v>217</v>
      </c>
      <c r="DP18" s="61" t="str">
        <f t="shared" si="26"/>
        <v/>
      </c>
      <c r="DQ18" s="61" t="str">
        <f t="shared" si="27"/>
        <v/>
      </c>
      <c r="DR18" s="61" t="str">
        <f t="shared" si="28"/>
        <v>FA</v>
      </c>
      <c r="DS18" s="73" t="s">
        <v>268</v>
      </c>
      <c r="DT18" s="74"/>
      <c r="DU18" s="74"/>
      <c r="DV18" s="74"/>
      <c r="DW18" s="73" t="s">
        <v>217</v>
      </c>
      <c r="DX18" s="74"/>
      <c r="DY18" s="110">
        <f t="shared" si="29"/>
        <v>2</v>
      </c>
      <c r="DZ18" s="74"/>
      <c r="EA18" s="73" t="s">
        <v>217</v>
      </c>
      <c r="EB18" s="74"/>
      <c r="EC18" s="80" t="s">
        <v>217</v>
      </c>
      <c r="EE18" s="110">
        <f t="shared" si="30"/>
        <v>2</v>
      </c>
      <c r="EF18" s="110" t="str">
        <f t="shared" si="70"/>
        <v>x</v>
      </c>
      <c r="EG18" s="61" t="str">
        <f t="shared" si="31"/>
        <v/>
      </c>
      <c r="EI18" s="80" t="s">
        <v>414</v>
      </c>
      <c r="EJ18" s="74"/>
      <c r="EK18" s="74"/>
      <c r="EL18" s="74"/>
      <c r="EM18" s="74"/>
      <c r="EO18" s="80" t="s">
        <v>217</v>
      </c>
      <c r="EP18" s="80" t="s">
        <v>217</v>
      </c>
      <c r="ES18" s="80" t="s">
        <v>415</v>
      </c>
      <c r="ET18" s="73">
        <v>5.0</v>
      </c>
      <c r="EU18" s="74"/>
      <c r="EV18" s="74"/>
      <c r="EW18" s="74"/>
      <c r="EX18" s="74"/>
      <c r="EZ18" s="80" t="s">
        <v>416</v>
      </c>
      <c r="FA18" s="80" t="s">
        <v>417</v>
      </c>
      <c r="FD18" s="80" t="s">
        <v>256</v>
      </c>
      <c r="FE18" s="97">
        <f t="shared" si="32"/>
        <v>2</v>
      </c>
      <c r="FF18" s="80">
        <v>1.0</v>
      </c>
      <c r="FG18" s="80">
        <v>1.0</v>
      </c>
      <c r="FH18" s="80">
        <v>0.5</v>
      </c>
      <c r="FI18" s="61">
        <f t="shared" si="101"/>
        <v>2.5</v>
      </c>
      <c r="FJ18" s="80">
        <v>0.0</v>
      </c>
      <c r="FK18" s="80">
        <v>0.0</v>
      </c>
      <c r="FL18" s="80" t="s">
        <v>189</v>
      </c>
      <c r="FM18" s="61" t="str">
        <f t="shared" si="102"/>
        <v>1</v>
      </c>
      <c r="FN18" s="61">
        <f t="shared" si="103"/>
        <v>0</v>
      </c>
      <c r="FP18" s="80" t="s">
        <v>217</v>
      </c>
      <c r="FQ18" s="61" t="str">
        <f t="shared" si="97"/>
        <v/>
      </c>
      <c r="FR18" s="80" t="s">
        <v>217</v>
      </c>
      <c r="FT18" s="61" t="str">
        <f t="shared" si="98"/>
        <v/>
      </c>
      <c r="FU18" s="61" t="str">
        <f t="shared" si="99"/>
        <v/>
      </c>
      <c r="FV18" s="73" t="s">
        <v>217</v>
      </c>
      <c r="FW18" s="80" t="s">
        <v>217</v>
      </c>
      <c r="GD18" s="80" t="s">
        <v>217</v>
      </c>
      <c r="GN18" s="80">
        <v>4.0</v>
      </c>
      <c r="GO18" s="80" t="s">
        <v>418</v>
      </c>
      <c r="GP18" s="112">
        <v>67250.0</v>
      </c>
      <c r="GQ18" s="80" t="s">
        <v>419</v>
      </c>
      <c r="GR18" s="80" t="s">
        <v>217</v>
      </c>
      <c r="GS18" s="80" t="s">
        <v>217</v>
      </c>
      <c r="GU18" s="61" t="str">
        <f t="shared" si="36"/>
        <v/>
      </c>
      <c r="GV18" s="61" t="str">
        <f t="shared" si="37"/>
        <v/>
      </c>
      <c r="GW18" s="61" t="str">
        <f t="shared" si="38"/>
        <v/>
      </c>
      <c r="GX18" s="61" t="str">
        <f t="shared" si="39"/>
        <v/>
      </c>
      <c r="GY18" s="61" t="str">
        <f t="shared" si="40"/>
        <v/>
      </c>
      <c r="GZ18" s="61" t="str">
        <f t="shared" si="41"/>
        <v/>
      </c>
      <c r="HA18" s="61" t="str">
        <f t="shared" si="42"/>
        <v/>
      </c>
      <c r="HB18" s="61" t="str">
        <f t="shared" si="43"/>
        <v/>
      </c>
      <c r="HC18" s="61" t="str">
        <f t="shared" si="44"/>
        <v/>
      </c>
      <c r="HD18" s="61" t="str">
        <f t="shared" si="45"/>
        <v/>
      </c>
      <c r="HE18" s="61" t="str">
        <f t="shared" si="46"/>
        <v/>
      </c>
      <c r="HF18" s="61" t="str">
        <f t="shared" si="47"/>
        <v/>
      </c>
      <c r="HG18" s="61" t="str">
        <f t="shared" si="48"/>
        <v/>
      </c>
      <c r="HH18" s="61" t="str">
        <f t="shared" si="49"/>
        <v/>
      </c>
      <c r="HI18" s="61" t="str">
        <f t="shared" si="50"/>
        <v/>
      </c>
      <c r="HJ18" s="61" t="str">
        <f t="shared" si="51"/>
        <v/>
      </c>
      <c r="HK18" s="61" t="str">
        <f t="shared" si="52"/>
        <v/>
      </c>
      <c r="HL18" s="61" t="str">
        <f t="shared" si="53"/>
        <v/>
      </c>
      <c r="HM18" s="61" t="str">
        <f t="shared" si="54"/>
        <v/>
      </c>
      <c r="HN18" s="61" t="str">
        <f t="shared" si="55"/>
        <v/>
      </c>
      <c r="HO18" s="61" t="str">
        <f t="shared" si="56"/>
        <v/>
      </c>
      <c r="HP18" s="61" t="str">
        <f t="shared" si="57"/>
        <v/>
      </c>
      <c r="HQ18" s="61" t="str">
        <f t="shared" si="58"/>
        <v/>
      </c>
      <c r="HR18" s="61" t="str">
        <f t="shared" si="59"/>
        <v/>
      </c>
      <c r="HS18" s="61" t="str">
        <f t="shared" si="60"/>
        <v/>
      </c>
      <c r="HT18" s="61" t="str">
        <f t="shared" si="61"/>
        <v/>
      </c>
      <c r="HU18" s="61" t="str">
        <f t="shared" si="62"/>
        <v/>
      </c>
      <c r="HV18" s="61" t="str">
        <f t="shared" si="63"/>
        <v/>
      </c>
      <c r="HW18" s="61" t="str">
        <f t="shared" si="64"/>
        <v/>
      </c>
      <c r="HX18" s="61" t="str">
        <f t="shared" si="65"/>
        <v>x</v>
      </c>
      <c r="HY18" s="61" t="str">
        <f t="shared" si="66"/>
        <v/>
      </c>
      <c r="HZ18" s="61" t="str">
        <f t="shared" si="67"/>
        <v/>
      </c>
    </row>
    <row r="19" ht="15.0" customHeight="1">
      <c r="A19" s="49" t="s">
        <v>420</v>
      </c>
      <c r="B19" s="80" t="s">
        <v>421</v>
      </c>
      <c r="C19" s="126" t="s">
        <v>422</v>
      </c>
      <c r="D19" s="80" t="s">
        <v>301</v>
      </c>
      <c r="E19" s="107">
        <f t="shared" si="3"/>
        <v>2</v>
      </c>
      <c r="F19" s="80" t="s">
        <v>209</v>
      </c>
      <c r="H19" s="80">
        <v>2005.0</v>
      </c>
      <c r="J19" s="80" t="s">
        <v>423</v>
      </c>
      <c r="Z19" s="10"/>
      <c r="AC19" s="127"/>
      <c r="AR19" s="74"/>
      <c r="AS19" s="74"/>
      <c r="AT19" s="74"/>
      <c r="AU19" s="74"/>
      <c r="AV19" s="73" t="s">
        <v>217</v>
      </c>
      <c r="AW19" s="74"/>
      <c r="AX19" s="74"/>
      <c r="AY19" s="73" t="s">
        <v>217</v>
      </c>
      <c r="AZ19" s="74"/>
      <c r="BA19" s="74"/>
      <c r="BB19" s="128"/>
      <c r="BC19" s="73" t="s">
        <v>217</v>
      </c>
      <c r="BD19" s="74"/>
      <c r="BE19" s="74"/>
      <c r="BF19" s="73" t="s">
        <v>217</v>
      </c>
      <c r="BG19" s="73" t="s">
        <v>217</v>
      </c>
      <c r="BH19" s="74"/>
      <c r="BI19" s="74"/>
      <c r="BJ19" s="74"/>
      <c r="BK19" s="74"/>
      <c r="BL19" s="74"/>
      <c r="BM19" s="74"/>
      <c r="BN19" s="74"/>
      <c r="BO19" s="74"/>
      <c r="BP19" s="73" t="s">
        <v>217</v>
      </c>
      <c r="BQ19" s="74"/>
      <c r="BR19" s="74"/>
      <c r="BS19" s="74"/>
      <c r="BT19" s="74"/>
      <c r="BU19" s="74"/>
      <c r="BV19" s="73" t="s">
        <v>217</v>
      </c>
      <c r="BW19" s="74"/>
      <c r="BX19" s="73" t="s">
        <v>217</v>
      </c>
      <c r="BY19" s="73" t="s">
        <v>217</v>
      </c>
      <c r="BZ19" s="74"/>
      <c r="CA19" s="73" t="s">
        <v>217</v>
      </c>
      <c r="CB19" s="73" t="s">
        <v>217</v>
      </c>
      <c r="CC19" s="73" t="s">
        <v>217</v>
      </c>
      <c r="CD19" s="74"/>
      <c r="CE19" s="74"/>
      <c r="CF19" s="74"/>
      <c r="CG19" s="74"/>
      <c r="CH19" s="73" t="s">
        <v>217</v>
      </c>
      <c r="CI19" s="74"/>
      <c r="CJ19" s="74"/>
      <c r="CK19" s="74"/>
      <c r="CL19" s="74"/>
      <c r="CM19" s="73" t="s">
        <v>217</v>
      </c>
      <c r="CN19" s="74"/>
      <c r="CO19" s="74"/>
      <c r="CP19" s="74"/>
      <c r="CQ19" s="74"/>
      <c r="CR19" s="80" t="s">
        <v>217</v>
      </c>
      <c r="DD19" s="80" t="s">
        <v>217</v>
      </c>
      <c r="DJ19" s="80" t="s">
        <v>217</v>
      </c>
      <c r="DL19" s="80" t="s">
        <v>217</v>
      </c>
      <c r="DO19" s="80" t="s">
        <v>217</v>
      </c>
      <c r="DS19" s="73" t="s">
        <v>268</v>
      </c>
      <c r="DT19" s="74"/>
      <c r="DU19" s="74"/>
      <c r="DV19" s="74"/>
      <c r="DW19" s="73" t="s">
        <v>217</v>
      </c>
      <c r="DX19" s="74"/>
      <c r="DY19" s="110">
        <f t="shared" si="29"/>
        <v>2</v>
      </c>
      <c r="DZ19" s="110" t="str">
        <f>if(AND(DS19&lt;&gt;"",DW19="x"), "x", "")</f>
        <v>x</v>
      </c>
      <c r="EA19" s="73" t="s">
        <v>217</v>
      </c>
      <c r="EB19" s="74"/>
      <c r="EC19" s="73" t="s">
        <v>217</v>
      </c>
      <c r="EE19" s="110">
        <f t="shared" si="30"/>
        <v>2</v>
      </c>
      <c r="EF19" s="110" t="str">
        <f t="shared" si="70"/>
        <v>x</v>
      </c>
      <c r="EG19" s="61" t="str">
        <f t="shared" si="31"/>
        <v/>
      </c>
      <c r="EI19" s="80" t="s">
        <v>424</v>
      </c>
      <c r="EJ19" s="74"/>
      <c r="EK19" s="74"/>
      <c r="EL19" s="74"/>
      <c r="EM19" s="74"/>
      <c r="ES19" s="80" t="s">
        <v>425</v>
      </c>
      <c r="ET19" s="73">
        <v>2.0</v>
      </c>
      <c r="EU19" s="74"/>
      <c r="EV19" s="74"/>
      <c r="EW19" s="74"/>
      <c r="EX19" s="74"/>
      <c r="EZ19" s="80" t="s">
        <v>426</v>
      </c>
      <c r="FA19" s="80" t="s">
        <v>427</v>
      </c>
      <c r="FB19" s="80" t="s">
        <v>428</v>
      </c>
      <c r="FD19" s="80" t="s">
        <v>429</v>
      </c>
      <c r="FE19" s="97">
        <f t="shared" si="32"/>
        <v>3</v>
      </c>
      <c r="FF19" s="80">
        <v>1.0</v>
      </c>
      <c r="FG19" s="80">
        <v>1.0</v>
      </c>
      <c r="FH19" s="80">
        <v>1.0</v>
      </c>
      <c r="FI19" s="61">
        <f t="shared" si="101"/>
        <v>3</v>
      </c>
      <c r="FJ19" s="80">
        <v>0.0</v>
      </c>
      <c r="FK19" s="80">
        <v>0.0</v>
      </c>
      <c r="FL19" s="80" t="s">
        <v>189</v>
      </c>
      <c r="FM19" s="61" t="str">
        <f t="shared" si="102"/>
        <v>1</v>
      </c>
      <c r="FN19" s="61">
        <f t="shared" si="103"/>
        <v>0</v>
      </c>
      <c r="FP19" s="80" t="s">
        <v>217</v>
      </c>
      <c r="FR19" s="80" t="s">
        <v>217</v>
      </c>
      <c r="FV19" s="73" t="s">
        <v>217</v>
      </c>
      <c r="FW19" s="80" t="s">
        <v>217</v>
      </c>
      <c r="GD19" s="80" t="s">
        <v>217</v>
      </c>
      <c r="GN19" s="80">
        <v>2.0</v>
      </c>
      <c r="GO19" s="80" t="s">
        <v>430</v>
      </c>
      <c r="GP19" s="80">
        <v>17091.0</v>
      </c>
      <c r="GQ19" s="80" t="s">
        <v>431</v>
      </c>
      <c r="GR19" s="80" t="s">
        <v>217</v>
      </c>
      <c r="GS19" s="80" t="s">
        <v>217</v>
      </c>
      <c r="GU19" s="61" t="str">
        <f t="shared" si="36"/>
        <v/>
      </c>
      <c r="GV19" s="61" t="str">
        <f t="shared" si="37"/>
        <v/>
      </c>
      <c r="GW19" s="61" t="str">
        <f t="shared" si="38"/>
        <v/>
      </c>
      <c r="GX19" s="61" t="str">
        <f t="shared" si="39"/>
        <v/>
      </c>
      <c r="GY19" s="61" t="str">
        <f t="shared" si="40"/>
        <v/>
      </c>
      <c r="GZ19" s="61" t="str">
        <f t="shared" si="41"/>
        <v/>
      </c>
      <c r="HA19" s="61" t="str">
        <f t="shared" si="42"/>
        <v/>
      </c>
      <c r="HB19" s="61" t="str">
        <f t="shared" si="43"/>
        <v/>
      </c>
      <c r="HC19" s="61" t="str">
        <f t="shared" si="44"/>
        <v/>
      </c>
      <c r="HD19" s="61" t="str">
        <f t="shared" si="45"/>
        <v/>
      </c>
      <c r="HE19" s="61" t="str">
        <f t="shared" si="46"/>
        <v/>
      </c>
      <c r="HF19" s="61" t="str">
        <f t="shared" si="47"/>
        <v/>
      </c>
      <c r="HG19" s="61" t="str">
        <f t="shared" si="48"/>
        <v/>
      </c>
      <c r="HH19" s="61" t="str">
        <f t="shared" si="49"/>
        <v/>
      </c>
      <c r="HI19" s="61" t="str">
        <f t="shared" si="50"/>
        <v/>
      </c>
      <c r="HJ19" s="61" t="str">
        <f t="shared" si="51"/>
        <v/>
      </c>
      <c r="HK19" s="61" t="str">
        <f t="shared" si="52"/>
        <v/>
      </c>
      <c r="HL19" s="61" t="str">
        <f t="shared" si="53"/>
        <v/>
      </c>
      <c r="HM19" s="61" t="str">
        <f t="shared" si="54"/>
        <v/>
      </c>
      <c r="HN19" s="61" t="str">
        <f t="shared" si="55"/>
        <v/>
      </c>
      <c r="HO19" s="61" t="str">
        <f t="shared" si="56"/>
        <v/>
      </c>
      <c r="HP19" s="61" t="str">
        <f t="shared" si="57"/>
        <v/>
      </c>
      <c r="HQ19" s="61" t="str">
        <f t="shared" si="58"/>
        <v/>
      </c>
      <c r="HR19" s="61" t="str">
        <f t="shared" si="59"/>
        <v/>
      </c>
      <c r="HS19" s="61" t="str">
        <f t="shared" si="60"/>
        <v/>
      </c>
      <c r="HT19" s="61" t="str">
        <f t="shared" si="61"/>
        <v/>
      </c>
      <c r="HU19" s="61" t="str">
        <f t="shared" si="62"/>
        <v/>
      </c>
      <c r="HV19" s="61" t="str">
        <f t="shared" si="63"/>
        <v/>
      </c>
      <c r="HW19" s="61" t="str">
        <f t="shared" si="64"/>
        <v/>
      </c>
      <c r="HX19" s="61" t="str">
        <f t="shared" si="65"/>
        <v/>
      </c>
      <c r="HY19" s="61" t="str">
        <f t="shared" si="66"/>
        <v/>
      </c>
      <c r="HZ19" s="61" t="str">
        <f t="shared" si="67"/>
        <v/>
      </c>
    </row>
    <row r="20" ht="1.5" customHeight="1">
      <c r="A20" s="49" t="s">
        <v>432</v>
      </c>
      <c r="B20" s="114" t="s">
        <v>433</v>
      </c>
      <c r="C20" s="113" t="s">
        <v>434</v>
      </c>
      <c r="D20" s="80" t="s">
        <v>245</v>
      </c>
      <c r="E20" s="107">
        <f t="shared" si="3"/>
        <v>2</v>
      </c>
      <c r="F20" s="80" t="s">
        <v>209</v>
      </c>
      <c r="G20" s="80" t="s">
        <v>211</v>
      </c>
      <c r="H20" s="80">
        <v>2008.0</v>
      </c>
      <c r="J20" s="80" t="s">
        <v>435</v>
      </c>
      <c r="K20" s="61" t="str">
        <f>if(AND(D20="Aysu", F20="Vahid"), 1, "")</f>
        <v/>
      </c>
      <c r="L20" s="61" t="str">
        <f>if(AND(D20="Aysu", F20="Ali"), 1, "")</f>
        <v/>
      </c>
      <c r="M20" s="61" t="str">
        <f>if(AND(D20="Vahid", F20="Aysu"), 1, "")</f>
        <v/>
      </c>
      <c r="N20" s="61" t="str">
        <f>if(AND(D20="Vahid", F20="Ali"), 1, "")</f>
        <v/>
      </c>
      <c r="O20" s="61" t="str">
        <f>if(AND(D20="Ali", F20="Vahid"), 1, "")</f>
        <v/>
      </c>
      <c r="P20" s="61">
        <f>if(AND(D20="Ali", F20="Aysu"), 1, "")</f>
        <v>1</v>
      </c>
      <c r="Q20" s="61" t="b">
        <f t="shared" ref="Q20:Q60" si="105">and(R20,V20)</f>
        <v>1</v>
      </c>
      <c r="R20" s="61" t="b">
        <f>SUM(S20:U20)&gt;=2</f>
        <v>1</v>
      </c>
      <c r="S20" s="80">
        <v>1.0</v>
      </c>
      <c r="T20" s="80">
        <v>1.0</v>
      </c>
      <c r="V20" s="61" t="b">
        <f>SUM(W20:Y20)&gt;=2</f>
        <v>1</v>
      </c>
      <c r="W20" s="80">
        <v>1.0</v>
      </c>
      <c r="X20" s="80">
        <v>1.0</v>
      </c>
      <c r="Z20" s="80" t="s">
        <v>436</v>
      </c>
      <c r="AA20" s="61" t="str">
        <f>iferror(if(find("Pollock", AC20)&gt;0,concat(J20,", "), ""))</f>
        <v/>
      </c>
      <c r="AB20" s="61" t="str">
        <f>if(GI20="x",concat(J20,", "), "")</f>
        <v/>
      </c>
      <c r="AC20" s="80" t="s">
        <v>437</v>
      </c>
      <c r="AD20" s="80" t="s">
        <v>438</v>
      </c>
      <c r="AE20" s="80" t="s">
        <v>217</v>
      </c>
      <c r="AF20" s="80">
        <v>1.0</v>
      </c>
      <c r="AG20" s="80" t="s">
        <v>267</v>
      </c>
      <c r="AH20" s="61">
        <f t="array" ref="AH20">countif({},AG20)</f>
        <v>0</v>
      </c>
      <c r="AI20" s="80" t="s">
        <v>250</v>
      </c>
      <c r="AJ20" s="80">
        <v>16.0</v>
      </c>
      <c r="AK20" s="108">
        <f>AJ20/(2012-H20)</f>
        <v>4</v>
      </c>
      <c r="AL20" s="61" t="str">
        <f>if(AI20="J",AJ20,"")</f>
        <v/>
      </c>
      <c r="AM20" s="61">
        <f>if(AI20="C",AJ20,"")</f>
        <v>16</v>
      </c>
      <c r="AN20" s="61" t="str">
        <f>if(AI20="W", AJ20,"")</f>
        <v/>
      </c>
      <c r="AO20" s="61" t="str">
        <f>if(AI20="M",AJ20,"")</f>
        <v/>
      </c>
      <c r="AP20" s="61" t="str">
        <f>if(AI20="S",AJ20,"")</f>
        <v/>
      </c>
      <c r="AQ20" s="61" t="str">
        <f>if(BH20="x",concat(J20,", "), "")</f>
        <v/>
      </c>
      <c r="AR20" s="74"/>
      <c r="AS20" s="74"/>
      <c r="AT20" s="74"/>
      <c r="AU20" s="74"/>
      <c r="AV20" s="73" t="s">
        <v>217</v>
      </c>
      <c r="AW20" s="74"/>
      <c r="AX20" s="73" t="s">
        <v>217</v>
      </c>
      <c r="AY20" s="74"/>
      <c r="AZ20" s="74"/>
      <c r="BA20" s="74"/>
      <c r="BB20" s="109" t="str">
        <f t="shared" ref="BB20:BB97" si="106">if(counta(AU20:BA20)=0, "ERR", "")</f>
        <v/>
      </c>
      <c r="BC20" s="73" t="s">
        <v>217</v>
      </c>
      <c r="BD20" s="73" t="s">
        <v>217</v>
      </c>
      <c r="BE20" s="74"/>
      <c r="BF20" s="74"/>
      <c r="BG20" s="74"/>
      <c r="BH20" s="74"/>
      <c r="BI20" s="110">
        <f>COUNTA(BC20:BH20)</f>
        <v>2</v>
      </c>
      <c r="BJ20" s="74"/>
      <c r="BK20" s="74"/>
      <c r="BL20" s="74"/>
      <c r="BM20" s="74"/>
      <c r="BN20" s="74"/>
      <c r="BO20" s="74"/>
      <c r="BP20" s="73" t="s">
        <v>217</v>
      </c>
      <c r="BQ20" s="74"/>
      <c r="BR20" s="74"/>
      <c r="BS20" s="74"/>
      <c r="BT20" s="74"/>
      <c r="BU20" s="74"/>
      <c r="BV20" s="74"/>
      <c r="BW20" s="73" t="s">
        <v>217</v>
      </c>
      <c r="BX20" s="74"/>
      <c r="BY20" s="74"/>
      <c r="BZ20" s="74"/>
      <c r="CA20" s="74"/>
      <c r="CB20" s="74"/>
      <c r="CC20" s="74"/>
      <c r="CD20" s="74"/>
      <c r="CE20" s="73" t="s">
        <v>217</v>
      </c>
      <c r="CF20" s="73" t="s">
        <v>439</v>
      </c>
      <c r="CG20" s="74"/>
      <c r="CH20" s="73" t="s">
        <v>217</v>
      </c>
      <c r="CI20" s="111" t="str">
        <f t="shared" ref="CI20:CI27" si="107">if(and(CG20="x",CH20="x"), "x", "")</f>
        <v/>
      </c>
      <c r="CJ20" s="110">
        <f>if(CG20="x", 1, if(CH20="x", 2, 3))</f>
        <v>2</v>
      </c>
      <c r="CK20" s="74"/>
      <c r="CL20" s="73" t="s">
        <v>217</v>
      </c>
      <c r="CM20" s="74"/>
      <c r="CN20" s="73" t="s">
        <v>217</v>
      </c>
      <c r="CO20" s="74"/>
      <c r="CP20" s="74"/>
      <c r="CQ20" s="74"/>
      <c r="CR20" s="80" t="s">
        <v>217</v>
      </c>
      <c r="CZ20" s="80" t="s">
        <v>217</v>
      </c>
      <c r="DE20" s="80" t="s">
        <v>217</v>
      </c>
      <c r="DG20" s="61">
        <f t="shared" ref="DG20:DG97" si="108">counta(CV20:DF20)</f>
        <v>2</v>
      </c>
      <c r="DH20" s="80" t="s">
        <v>217</v>
      </c>
      <c r="DL20" s="80" t="s">
        <v>217</v>
      </c>
      <c r="DM20" s="61">
        <f>counta(DH20:DL20)</f>
        <v>2</v>
      </c>
      <c r="DO20" s="80" t="s">
        <v>217</v>
      </c>
      <c r="DP20" s="61" t="str">
        <f t="shared" ref="DP20:DP97" si="109">if(and(DN20="x",DO20="x"), "both", "")</f>
        <v/>
      </c>
      <c r="DQ20" s="61" t="str">
        <f t="shared" ref="DQ20:DQ97" si="110">if(and(DN20="x",DO20=""), "FM", "")</f>
        <v/>
      </c>
      <c r="DR20" s="61" t="str">
        <f t="shared" ref="DR20:DR97" si="111">if(and(DO20="x",DN20=""), "FA", "")</f>
        <v>FA</v>
      </c>
      <c r="DS20" s="74"/>
      <c r="DT20" s="74"/>
      <c r="DU20" s="74"/>
      <c r="DV20" s="74"/>
      <c r="DW20" s="74"/>
      <c r="DX20" s="74"/>
      <c r="DY20" s="110">
        <f t="shared" si="29"/>
        <v>0</v>
      </c>
      <c r="DZ20" s="74"/>
      <c r="EA20" s="73" t="s">
        <v>217</v>
      </c>
      <c r="EB20" s="74"/>
      <c r="EC20" s="80" t="s">
        <v>217</v>
      </c>
      <c r="EE20" s="110">
        <f t="shared" si="30"/>
        <v>2</v>
      </c>
      <c r="EF20" s="110" t="str">
        <f t="shared" si="70"/>
        <v/>
      </c>
      <c r="EG20" s="61" t="str">
        <f t="shared" si="31"/>
        <v/>
      </c>
      <c r="EH20" s="80" t="s">
        <v>440</v>
      </c>
      <c r="EI20" s="80" t="s">
        <v>441</v>
      </c>
      <c r="EJ20" s="74"/>
      <c r="EK20" s="74"/>
      <c r="EL20" s="74"/>
      <c r="EM20" s="74"/>
      <c r="EO20" s="80" t="s">
        <v>217</v>
      </c>
      <c r="ES20" s="80" t="s">
        <v>442</v>
      </c>
      <c r="ET20" s="73">
        <v>2.0</v>
      </c>
      <c r="EU20" s="74"/>
      <c r="EV20" s="74"/>
      <c r="EW20" s="74"/>
      <c r="EX20" s="74"/>
      <c r="EZ20" s="80" t="s">
        <v>443</v>
      </c>
      <c r="FD20" s="80" t="s">
        <v>256</v>
      </c>
      <c r="FE20" s="97">
        <f t="shared" si="32"/>
        <v>1</v>
      </c>
      <c r="FF20" s="80">
        <v>1.0</v>
      </c>
      <c r="FG20" s="80">
        <v>1.0</v>
      </c>
      <c r="FH20" s="80">
        <v>1.0</v>
      </c>
      <c r="FI20" s="61">
        <f t="shared" si="101"/>
        <v>3</v>
      </c>
      <c r="FJ20" s="80">
        <v>0.0</v>
      </c>
      <c r="FK20" s="80">
        <v>0.0</v>
      </c>
      <c r="FL20" s="80">
        <v>1.0</v>
      </c>
      <c r="FM20" s="80">
        <v>0.5</v>
      </c>
      <c r="FN20" s="61">
        <f t="shared" si="103"/>
        <v>1.5</v>
      </c>
      <c r="FP20" s="80" t="s">
        <v>217</v>
      </c>
      <c r="FQ20" s="61" t="str">
        <f>if(and(FO20="",FP20=""), "both", "")</f>
        <v/>
      </c>
      <c r="FR20" s="80" t="s">
        <v>217</v>
      </c>
      <c r="FT20" s="61" t="str">
        <f>if(and(FS20="x",FR20="x"), "both", "")</f>
        <v/>
      </c>
      <c r="FU20" s="61" t="str">
        <f>if(and(FR20="",FS20=""), "none", "")</f>
        <v/>
      </c>
      <c r="FV20" s="74"/>
      <c r="FZ20" s="80" t="s">
        <v>217</v>
      </c>
      <c r="GJ20" s="80" t="s">
        <v>217</v>
      </c>
      <c r="GN20" s="80">
        <v>1.0</v>
      </c>
      <c r="GO20" s="80" t="s">
        <v>444</v>
      </c>
      <c r="GP20" s="116"/>
      <c r="GS20" s="80" t="s">
        <v>217</v>
      </c>
      <c r="GU20" s="61" t="str">
        <f t="shared" si="36"/>
        <v/>
      </c>
      <c r="GV20" s="61" t="str">
        <f t="shared" si="37"/>
        <v/>
      </c>
      <c r="GW20" s="61" t="str">
        <f t="shared" si="38"/>
        <v/>
      </c>
      <c r="GX20" s="61" t="str">
        <f t="shared" si="39"/>
        <v/>
      </c>
      <c r="GY20" s="61" t="str">
        <f t="shared" si="40"/>
        <v/>
      </c>
      <c r="GZ20" s="61" t="str">
        <f t="shared" si="41"/>
        <v/>
      </c>
      <c r="HA20" s="61" t="str">
        <f t="shared" si="42"/>
        <v/>
      </c>
      <c r="HB20" s="61" t="str">
        <f t="shared" si="43"/>
        <v/>
      </c>
      <c r="HC20" s="61" t="str">
        <f t="shared" si="44"/>
        <v/>
      </c>
      <c r="HD20" s="61" t="str">
        <f t="shared" si="45"/>
        <v/>
      </c>
      <c r="HE20" s="61" t="str">
        <f t="shared" si="46"/>
        <v/>
      </c>
      <c r="HF20" s="61" t="str">
        <f t="shared" si="47"/>
        <v/>
      </c>
      <c r="HG20" s="61" t="str">
        <f t="shared" si="48"/>
        <v/>
      </c>
      <c r="HH20" s="61" t="str">
        <f t="shared" si="49"/>
        <v/>
      </c>
      <c r="HI20" s="61" t="str">
        <f t="shared" si="50"/>
        <v/>
      </c>
      <c r="HJ20" s="61" t="str">
        <f t="shared" si="51"/>
        <v/>
      </c>
      <c r="HK20" s="61" t="str">
        <f t="shared" si="52"/>
        <v/>
      </c>
      <c r="HL20" s="61" t="str">
        <f t="shared" si="53"/>
        <v/>
      </c>
      <c r="HM20" s="61" t="str">
        <f t="shared" si="54"/>
        <v/>
      </c>
      <c r="HN20" s="61" t="str">
        <f t="shared" si="55"/>
        <v/>
      </c>
      <c r="HO20" s="61" t="str">
        <f t="shared" si="56"/>
        <v/>
      </c>
      <c r="HP20" s="61" t="str">
        <f t="shared" si="57"/>
        <v/>
      </c>
      <c r="HQ20" s="61" t="str">
        <f t="shared" si="58"/>
        <v/>
      </c>
      <c r="HR20" s="61" t="str">
        <f t="shared" si="59"/>
        <v/>
      </c>
      <c r="HS20" s="61" t="str">
        <f t="shared" si="60"/>
        <v/>
      </c>
      <c r="HT20" s="61" t="str">
        <f t="shared" si="61"/>
        <v/>
      </c>
      <c r="HU20" s="61" t="str">
        <f t="shared" si="62"/>
        <v>x</v>
      </c>
      <c r="HV20" s="61" t="str">
        <f t="shared" si="63"/>
        <v/>
      </c>
      <c r="HW20" s="61" t="str">
        <f t="shared" si="64"/>
        <v>x</v>
      </c>
      <c r="HX20" s="61" t="str">
        <f t="shared" si="65"/>
        <v/>
      </c>
      <c r="HY20" s="61" t="str">
        <f t="shared" si="66"/>
        <v/>
      </c>
      <c r="HZ20" s="61" t="str">
        <f t="shared" si="67"/>
        <v/>
      </c>
    </row>
    <row r="21" ht="15.0" customHeight="1">
      <c r="A21" s="49" t="s">
        <v>445</v>
      </c>
      <c r="B21" s="80" t="s">
        <v>446</v>
      </c>
      <c r="C21" s="113" t="s">
        <v>447</v>
      </c>
      <c r="D21" s="80" t="s">
        <v>301</v>
      </c>
      <c r="E21" s="107">
        <f t="shared" si="3"/>
        <v>3</v>
      </c>
      <c r="F21" s="80" t="s">
        <v>210</v>
      </c>
      <c r="G21" s="80" t="s">
        <v>217</v>
      </c>
      <c r="H21" s="80">
        <v>2011.0</v>
      </c>
      <c r="J21" s="80" t="s">
        <v>448</v>
      </c>
      <c r="Q21" s="61" t="b">
        <f t="shared" si="105"/>
        <v>1</v>
      </c>
      <c r="R21" s="61" t="b">
        <f>if(AVERAGE(S21:U21)&gt;=5, TRUE, FALSE)</f>
        <v>1</v>
      </c>
      <c r="S21" s="80">
        <v>8.0</v>
      </c>
      <c r="T21" s="80">
        <v>7.0</v>
      </c>
      <c r="U21" s="80">
        <v>7.0</v>
      </c>
      <c r="V21" s="61" t="b">
        <f>if(AVERAGE(W21:Y21)&gt;=5, TRUE, FALSE)</f>
        <v>1</v>
      </c>
      <c r="W21" s="80">
        <v>8.0</v>
      </c>
      <c r="X21" s="80">
        <v>7.0</v>
      </c>
      <c r="Y21" s="80">
        <v>8.0</v>
      </c>
      <c r="Z21" s="10"/>
      <c r="AC21" s="80" t="s">
        <v>437</v>
      </c>
      <c r="AD21" s="80" t="s">
        <v>449</v>
      </c>
      <c r="AG21" s="80" t="s">
        <v>450</v>
      </c>
      <c r="AI21" s="80" t="s">
        <v>250</v>
      </c>
      <c r="AR21" s="73" t="s">
        <v>217</v>
      </c>
      <c r="AS21" s="74"/>
      <c r="AT21" s="74"/>
      <c r="AU21" s="74"/>
      <c r="AV21" s="74"/>
      <c r="AW21" s="74"/>
      <c r="AX21" s="74"/>
      <c r="AY21" s="74"/>
      <c r="AZ21" s="74"/>
      <c r="BA21" s="74"/>
      <c r="BB21" s="109" t="str">
        <f t="shared" si="106"/>
        <v>ERR</v>
      </c>
      <c r="BC21" s="73" t="s">
        <v>217</v>
      </c>
      <c r="BD21" s="73" t="s">
        <v>217</v>
      </c>
      <c r="BE21" s="74"/>
      <c r="BF21" s="74"/>
      <c r="BG21" s="74"/>
      <c r="BH21" s="74"/>
      <c r="BI21" s="74"/>
      <c r="BJ21" s="74"/>
      <c r="BK21" s="74"/>
      <c r="BL21" s="74"/>
      <c r="BM21" s="74"/>
      <c r="BN21" s="74"/>
      <c r="BO21" s="74"/>
      <c r="BP21" s="74"/>
      <c r="BQ21" s="73" t="s">
        <v>217</v>
      </c>
      <c r="BR21" s="74"/>
      <c r="BS21" s="74"/>
      <c r="BT21" s="74"/>
      <c r="BU21" s="74"/>
      <c r="BV21" s="73" t="s">
        <v>217</v>
      </c>
      <c r="BW21" s="73" t="s">
        <v>217</v>
      </c>
      <c r="BX21" s="73" t="s">
        <v>217</v>
      </c>
      <c r="BY21" s="73" t="s">
        <v>217</v>
      </c>
      <c r="BZ21" s="74"/>
      <c r="CA21" s="73" t="s">
        <v>217</v>
      </c>
      <c r="CB21" s="73" t="s">
        <v>217</v>
      </c>
      <c r="CC21" s="74"/>
      <c r="CD21" s="74"/>
      <c r="CE21" s="74"/>
      <c r="CF21" s="74"/>
      <c r="CG21" s="74"/>
      <c r="CH21" s="73" t="s">
        <v>217</v>
      </c>
      <c r="CI21" s="110" t="str">
        <f t="shared" si="107"/>
        <v/>
      </c>
      <c r="CJ21" s="74"/>
      <c r="CK21" s="73" t="s">
        <v>217</v>
      </c>
      <c r="CL21" s="74"/>
      <c r="CM21" s="74"/>
      <c r="CN21" s="73" t="s">
        <v>217</v>
      </c>
      <c r="CO21" s="73" t="s">
        <v>217</v>
      </c>
      <c r="CP21" s="74"/>
      <c r="CQ21" s="74"/>
      <c r="CX21" s="80" t="s">
        <v>217</v>
      </c>
      <c r="CY21" s="80" t="s">
        <v>217</v>
      </c>
      <c r="DC21" s="80" t="s">
        <v>217</v>
      </c>
      <c r="DG21" s="61">
        <f t="shared" si="108"/>
        <v>3</v>
      </c>
      <c r="DH21" s="80" t="s">
        <v>217</v>
      </c>
      <c r="DK21" s="80" t="s">
        <v>217</v>
      </c>
      <c r="DO21" s="80" t="s">
        <v>217</v>
      </c>
      <c r="DP21" s="61" t="str">
        <f t="shared" si="109"/>
        <v/>
      </c>
      <c r="DQ21" s="61" t="str">
        <f t="shared" si="110"/>
        <v/>
      </c>
      <c r="DR21" s="61" t="str">
        <f t="shared" si="111"/>
        <v>FA</v>
      </c>
      <c r="DS21" s="73" t="s">
        <v>451</v>
      </c>
      <c r="DT21" s="74"/>
      <c r="DU21" s="74"/>
      <c r="DV21" s="73" t="s">
        <v>217</v>
      </c>
      <c r="DW21" s="74"/>
      <c r="DX21" s="74"/>
      <c r="DY21" s="110">
        <f t="shared" si="29"/>
        <v>2</v>
      </c>
      <c r="DZ21" s="110" t="str">
        <f>if(AND(DS21&lt;&gt;"",DW21="x"), "x", "")</f>
        <v/>
      </c>
      <c r="EA21" s="73" t="s">
        <v>217</v>
      </c>
      <c r="EB21" s="74"/>
      <c r="EC21" s="74"/>
      <c r="ED21" s="74"/>
      <c r="EE21" s="110">
        <f t="shared" si="30"/>
        <v>1</v>
      </c>
      <c r="EF21" s="110" t="str">
        <f t="shared" si="70"/>
        <v>x</v>
      </c>
      <c r="EG21" s="61" t="str">
        <f t="shared" si="31"/>
        <v/>
      </c>
      <c r="EI21" s="80" t="s">
        <v>452</v>
      </c>
      <c r="EJ21" s="74"/>
      <c r="EK21" s="74"/>
      <c r="EL21" s="74"/>
      <c r="EM21" s="74"/>
      <c r="EN21" s="80" t="s">
        <v>217</v>
      </c>
      <c r="EP21" s="80" t="s">
        <v>217</v>
      </c>
      <c r="ES21" s="80" t="s">
        <v>453</v>
      </c>
      <c r="ET21" s="73">
        <v>2.0</v>
      </c>
      <c r="EU21" s="74"/>
      <c r="EV21" s="74"/>
      <c r="EW21" s="74"/>
      <c r="EX21" s="74"/>
      <c r="EZ21" s="80" t="s">
        <v>454</v>
      </c>
      <c r="FA21" s="80" t="s">
        <v>455</v>
      </c>
      <c r="FD21" s="80" t="s">
        <v>256</v>
      </c>
      <c r="FE21" s="97">
        <f t="shared" si="32"/>
        <v>2</v>
      </c>
      <c r="FF21" s="80">
        <v>1.0</v>
      </c>
      <c r="FG21" s="80">
        <v>1.0</v>
      </c>
      <c r="FH21" s="80">
        <v>1.0</v>
      </c>
      <c r="FI21" s="61">
        <f t="shared" si="101"/>
        <v>3</v>
      </c>
      <c r="FJ21" s="80">
        <v>0.0</v>
      </c>
      <c r="FK21" s="80">
        <v>0.0</v>
      </c>
      <c r="FL21" s="80" t="s">
        <v>189</v>
      </c>
      <c r="FM21" s="61" t="str">
        <f>if(GP21&lt;1000, "0", if(GP21&lt;10000, "0.5","1"))</f>
        <v>1</v>
      </c>
      <c r="FN21" s="61">
        <f t="shared" si="103"/>
        <v>0</v>
      </c>
      <c r="FP21" s="80" t="s">
        <v>217</v>
      </c>
      <c r="FR21" s="80" t="s">
        <v>217</v>
      </c>
      <c r="FV21" s="74"/>
      <c r="FW21" s="80" t="s">
        <v>217</v>
      </c>
      <c r="GC21" s="80" t="s">
        <v>217</v>
      </c>
      <c r="GL21" s="80" t="s">
        <v>456</v>
      </c>
      <c r="GN21" s="80">
        <v>6.0</v>
      </c>
      <c r="GO21" s="80" t="s">
        <v>457</v>
      </c>
      <c r="GP21" s="80">
        <v>53400.0</v>
      </c>
      <c r="GQ21" s="80" t="s">
        <v>458</v>
      </c>
      <c r="GS21" s="80" t="s">
        <v>217</v>
      </c>
      <c r="GU21" s="61" t="str">
        <f t="shared" si="36"/>
        <v/>
      </c>
      <c r="GV21" s="61" t="str">
        <f t="shared" si="37"/>
        <v/>
      </c>
      <c r="GW21" s="61" t="str">
        <f t="shared" si="38"/>
        <v/>
      </c>
      <c r="GX21" s="61" t="str">
        <f t="shared" si="39"/>
        <v/>
      </c>
      <c r="GY21" s="61" t="str">
        <f t="shared" si="40"/>
        <v/>
      </c>
      <c r="GZ21" s="61" t="str">
        <f t="shared" si="41"/>
        <v/>
      </c>
      <c r="HA21" s="61" t="str">
        <f t="shared" si="42"/>
        <v/>
      </c>
      <c r="HB21" s="61" t="str">
        <f t="shared" si="43"/>
        <v/>
      </c>
      <c r="HC21" s="61" t="str">
        <f t="shared" si="44"/>
        <v/>
      </c>
      <c r="HD21" s="61" t="str">
        <f t="shared" si="45"/>
        <v/>
      </c>
      <c r="HE21" s="61" t="str">
        <f t="shared" si="46"/>
        <v/>
      </c>
      <c r="HF21" s="61" t="str">
        <f t="shared" si="47"/>
        <v/>
      </c>
      <c r="HG21" s="61" t="str">
        <f t="shared" si="48"/>
        <v/>
      </c>
      <c r="HH21" s="61" t="str">
        <f t="shared" si="49"/>
        <v/>
      </c>
      <c r="HI21" s="61" t="str">
        <f t="shared" si="50"/>
        <v/>
      </c>
      <c r="HJ21" s="61" t="str">
        <f t="shared" si="51"/>
        <v/>
      </c>
      <c r="HK21" s="61" t="str">
        <f t="shared" si="52"/>
        <v/>
      </c>
      <c r="HL21" s="61" t="str">
        <f t="shared" si="53"/>
        <v/>
      </c>
      <c r="HM21" s="61" t="str">
        <f t="shared" si="54"/>
        <v/>
      </c>
      <c r="HN21" s="61" t="str">
        <f t="shared" si="55"/>
        <v/>
      </c>
      <c r="HO21" s="61" t="str">
        <f t="shared" si="56"/>
        <v/>
      </c>
      <c r="HP21" s="61" t="str">
        <f t="shared" si="57"/>
        <v/>
      </c>
      <c r="HQ21" s="61" t="str">
        <f t="shared" si="58"/>
        <v>x</v>
      </c>
      <c r="HR21" s="61" t="str">
        <f t="shared" si="59"/>
        <v/>
      </c>
      <c r="HS21" s="61" t="str">
        <f t="shared" si="60"/>
        <v/>
      </c>
      <c r="HT21" s="61" t="str">
        <f t="shared" si="61"/>
        <v/>
      </c>
      <c r="HU21" s="61" t="str">
        <f t="shared" si="62"/>
        <v/>
      </c>
      <c r="HV21" s="61" t="str">
        <f t="shared" si="63"/>
        <v/>
      </c>
      <c r="HW21" s="61" t="str">
        <f t="shared" si="64"/>
        <v/>
      </c>
      <c r="HX21" s="61" t="str">
        <f t="shared" si="65"/>
        <v/>
      </c>
      <c r="HY21" s="61" t="str">
        <f t="shared" si="66"/>
        <v/>
      </c>
      <c r="HZ21" s="61" t="str">
        <f t="shared" si="67"/>
        <v/>
      </c>
    </row>
    <row r="22" ht="1.5" customHeight="1">
      <c r="A22" s="49" t="s">
        <v>459</v>
      </c>
      <c r="B22" s="95" t="s">
        <v>460</v>
      </c>
      <c r="C22" s="117" t="s">
        <v>461</v>
      </c>
      <c r="D22" s="95" t="s">
        <v>210</v>
      </c>
      <c r="E22" s="96" t="str">
        <f t="shared" si="3"/>
        <v/>
      </c>
      <c r="F22" s="95" t="s">
        <v>209</v>
      </c>
      <c r="G22" s="95" t="s">
        <v>211</v>
      </c>
      <c r="H22" s="95">
        <v>2010.0</v>
      </c>
      <c r="I22" s="7"/>
      <c r="J22" s="95" t="s">
        <v>462</v>
      </c>
      <c r="K22" s="97" t="str">
        <f t="shared" ref="K22:K29" si="112">if(AND(D22="Aysu", F22="Vahid"), 1, "")</f>
        <v/>
      </c>
      <c r="L22" s="97" t="str">
        <f t="shared" ref="L22:L29" si="113">if(AND(D22="Aysu", F22="Ali"), 1, "")</f>
        <v/>
      </c>
      <c r="M22" s="97">
        <f t="shared" ref="M22:M29" si="114">if(AND(D22="Vahid", F22="Aysu"), 1, "")</f>
        <v>1</v>
      </c>
      <c r="N22" s="97" t="str">
        <f t="shared" ref="N22:N29" si="115">if(AND(D22="Vahid", F22="Ali"), 1, "")</f>
        <v/>
      </c>
      <c r="O22" s="97" t="str">
        <f t="shared" ref="O22:O29" si="116">if(AND(D22="Ali", F22="Vahid"), 1, "")</f>
        <v/>
      </c>
      <c r="P22" s="97" t="str">
        <f t="shared" ref="P22:P29" si="117">if(AND(D22="Ali", F22="Aysu"), 1, "")</f>
        <v/>
      </c>
      <c r="Q22" s="97" t="b">
        <f t="shared" si="105"/>
        <v>1</v>
      </c>
      <c r="R22" s="97" t="b">
        <f>SUM(W22:Y22)&gt;=2</f>
        <v>1</v>
      </c>
      <c r="S22" s="95">
        <v>1.0</v>
      </c>
      <c r="T22" s="95">
        <v>1.0</v>
      </c>
      <c r="U22" s="95">
        <v>1.0</v>
      </c>
      <c r="V22" s="97" t="b">
        <f t="shared" ref="V22:V29" si="118">SUM(W22:Y22)&gt;=2</f>
        <v>1</v>
      </c>
      <c r="W22" s="95">
        <v>1.0</v>
      </c>
      <c r="X22" s="95">
        <v>1.0</v>
      </c>
      <c r="Y22" s="7"/>
      <c r="Z22" s="7"/>
      <c r="AA22" s="97" t="str">
        <f t="shared" ref="AA22:AA29" si="119">iferror(if(find("Pollock", AC22)&gt;0,concat(J22,", "), ""))</f>
        <v/>
      </c>
      <c r="AB22" s="97" t="str">
        <f t="shared" ref="AB22:AB29" si="120">if(GI22="x",concat(J22,", "), "")</f>
        <v/>
      </c>
      <c r="AC22" s="98" t="s">
        <v>463</v>
      </c>
      <c r="AD22" s="95" t="s">
        <v>464</v>
      </c>
      <c r="AE22" s="7"/>
      <c r="AF22" s="97">
        <f>countif('Charts-SLR'!A:A,AD22)</f>
        <v>1</v>
      </c>
      <c r="AG22" s="95" t="s">
        <v>465</v>
      </c>
      <c r="AH22" s="97">
        <f t="shared" ref="AH22:AH29" si="121">countif({},AG22)</f>
        <v>0</v>
      </c>
      <c r="AI22" s="95" t="s">
        <v>250</v>
      </c>
      <c r="AJ22" s="95">
        <v>1.0</v>
      </c>
      <c r="AK22" s="99">
        <f t="shared" ref="AK22:AK29" si="122">AJ22/(2012-H22)</f>
        <v>0.5</v>
      </c>
      <c r="AL22" s="97" t="str">
        <f t="shared" ref="AL22:AL29" si="123">if(AI22="J",AJ22,"")</f>
        <v/>
      </c>
      <c r="AM22" s="97">
        <f t="shared" ref="AM22:AM29" si="124">if(AI22="C",AJ22,"")</f>
        <v>1</v>
      </c>
      <c r="AN22" s="97" t="str">
        <f t="shared" ref="AN22:AN29" si="125">if(AI22="W", AJ22,"")</f>
        <v/>
      </c>
      <c r="AO22" s="97" t="str">
        <f t="shared" ref="AO22:AO29" si="126">if(AI22="M",AJ22,"")</f>
        <v/>
      </c>
      <c r="AP22" s="97" t="str">
        <f t="shared" ref="AP22:AP29" si="127">if(AI22="S",AJ22,"")</f>
        <v/>
      </c>
      <c r="AQ22" s="97" t="str">
        <f t="shared" ref="AQ22:AQ29" si="128">if(BH22="x",concat(J22,", "), "")</f>
        <v/>
      </c>
      <c r="AR22" s="100"/>
      <c r="AS22" s="100"/>
      <c r="AT22" s="100"/>
      <c r="AU22" s="100"/>
      <c r="AV22" s="100"/>
      <c r="AW22" s="100"/>
      <c r="AX22" s="100"/>
      <c r="AY22" s="100"/>
      <c r="AZ22" s="100"/>
      <c r="BA22" s="100"/>
      <c r="BB22" s="101" t="str">
        <f t="shared" si="106"/>
        <v>ERR</v>
      </c>
      <c r="BC22" s="100"/>
      <c r="BD22" s="102" t="s">
        <v>217</v>
      </c>
      <c r="BE22" s="100"/>
      <c r="BF22" s="102" t="s">
        <v>217</v>
      </c>
      <c r="BG22" s="100"/>
      <c r="BH22" s="100"/>
      <c r="BI22" s="103">
        <f t="shared" ref="BI22:BI29" si="129">COUNTA(BC22:BH22)</f>
        <v>2</v>
      </c>
      <c r="BJ22" s="100"/>
      <c r="BK22" s="100"/>
      <c r="BL22" s="100"/>
      <c r="BM22" s="100"/>
      <c r="BN22" s="100"/>
      <c r="BO22" s="102" t="s">
        <v>217</v>
      </c>
      <c r="BP22" s="100"/>
      <c r="BQ22" s="100"/>
      <c r="BR22" s="100"/>
      <c r="BS22" s="100"/>
      <c r="BT22" s="100"/>
      <c r="BU22" s="74"/>
      <c r="BV22" s="102" t="s">
        <v>217</v>
      </c>
      <c r="BW22" s="100"/>
      <c r="BX22" s="100"/>
      <c r="BY22" s="102" t="s">
        <v>217</v>
      </c>
      <c r="BZ22" s="100"/>
      <c r="CA22" s="100"/>
      <c r="CB22" s="100"/>
      <c r="CC22" s="100"/>
      <c r="CD22" s="100"/>
      <c r="CE22" s="100"/>
      <c r="CF22" s="100"/>
      <c r="CG22" s="100"/>
      <c r="CH22" s="102" t="s">
        <v>217</v>
      </c>
      <c r="CI22" s="103" t="str">
        <f t="shared" si="107"/>
        <v/>
      </c>
      <c r="CJ22" s="103">
        <f t="shared" ref="CJ22:CJ29" si="130">if(CG22="x", 1, if(CH22="x", 2, 3))</f>
        <v>2</v>
      </c>
      <c r="CK22" s="102" t="s">
        <v>217</v>
      </c>
      <c r="CL22" s="100"/>
      <c r="CM22" s="100"/>
      <c r="CN22" s="102" t="s">
        <v>217</v>
      </c>
      <c r="CO22" s="100"/>
      <c r="CP22" s="100"/>
      <c r="CQ22" s="100"/>
      <c r="CR22" s="7"/>
      <c r="CS22" s="7"/>
      <c r="CT22" s="7"/>
      <c r="CU22" s="7"/>
      <c r="CV22" s="7"/>
      <c r="CW22" s="7"/>
      <c r="CX22" s="95" t="s">
        <v>217</v>
      </c>
      <c r="CY22" s="95" t="s">
        <v>217</v>
      </c>
      <c r="CZ22" s="7"/>
      <c r="DA22" s="7"/>
      <c r="DB22" s="7"/>
      <c r="DC22" s="7"/>
      <c r="DD22" s="7"/>
      <c r="DE22" s="7"/>
      <c r="DF22" s="7"/>
      <c r="DG22" s="97">
        <f t="shared" si="108"/>
        <v>2</v>
      </c>
      <c r="DH22" s="7"/>
      <c r="DI22" s="95" t="s">
        <v>217</v>
      </c>
      <c r="DJ22" s="7"/>
      <c r="DK22" s="7"/>
      <c r="DL22" s="7"/>
      <c r="DM22" s="97">
        <f t="shared" ref="DM22:DM29" si="131">counta(DH22:DL22)</f>
        <v>1</v>
      </c>
      <c r="DN22" s="7"/>
      <c r="DO22" s="95" t="s">
        <v>217</v>
      </c>
      <c r="DP22" s="97" t="str">
        <f t="shared" si="109"/>
        <v/>
      </c>
      <c r="DQ22" s="97" t="str">
        <f t="shared" si="110"/>
        <v/>
      </c>
      <c r="DR22" s="97" t="str">
        <f t="shared" si="111"/>
        <v>FA</v>
      </c>
      <c r="DS22" s="7"/>
      <c r="DT22" s="100"/>
      <c r="DU22" s="102" t="s">
        <v>466</v>
      </c>
      <c r="DV22" s="100"/>
      <c r="DW22" s="100"/>
      <c r="DX22" s="100"/>
      <c r="DY22" s="103">
        <f t="shared" si="29"/>
        <v>1</v>
      </c>
      <c r="DZ22" s="100"/>
      <c r="EA22" s="100"/>
      <c r="EB22" s="100"/>
      <c r="EC22" s="100"/>
      <c r="ED22" s="100"/>
      <c r="EE22" s="103">
        <f t="shared" si="30"/>
        <v>0</v>
      </c>
      <c r="EF22" s="103" t="str">
        <f t="shared" si="70"/>
        <v/>
      </c>
      <c r="EG22" s="97" t="str">
        <f t="shared" si="31"/>
        <v/>
      </c>
      <c r="EH22" s="7"/>
      <c r="EI22" s="7"/>
      <c r="EJ22" s="100"/>
      <c r="EK22" s="100"/>
      <c r="EL22" s="100"/>
      <c r="EM22" s="100"/>
      <c r="EN22" s="7"/>
      <c r="EO22" s="7"/>
      <c r="EP22" s="7"/>
      <c r="EQ22" s="7"/>
      <c r="ER22" s="7"/>
      <c r="ES22" s="7"/>
      <c r="ET22" s="100"/>
      <c r="EU22" s="100"/>
      <c r="EV22" s="100"/>
      <c r="EW22" s="100"/>
      <c r="EX22" s="100"/>
      <c r="EY22" s="7"/>
      <c r="EZ22" s="7"/>
      <c r="FA22" s="7"/>
      <c r="FB22" s="7"/>
      <c r="FC22" s="7"/>
      <c r="FD22" s="7"/>
      <c r="FE22" s="97" t="str">
        <f t="shared" si="32"/>
        <v/>
      </c>
      <c r="FF22" s="7"/>
      <c r="FG22" s="7"/>
      <c r="FH22" s="7"/>
      <c r="FI22" s="7"/>
      <c r="FJ22" s="7"/>
      <c r="FK22" s="7"/>
      <c r="FL22" s="7"/>
      <c r="FM22" s="7"/>
      <c r="FN22" s="7"/>
      <c r="FO22" s="7"/>
      <c r="FP22" s="95" t="s">
        <v>217</v>
      </c>
      <c r="FQ22" s="97" t="str">
        <f t="shared" ref="FQ22:FQ29" si="132">if(and(FO22="",FP22=""), "both", "")</f>
        <v/>
      </c>
      <c r="FR22" s="95" t="s">
        <v>217</v>
      </c>
      <c r="FS22" s="7"/>
      <c r="FT22" s="97" t="str">
        <f t="shared" ref="FT22:FT29" si="133">if(and(FS22="x",FR22="x"), "both", "")</f>
        <v/>
      </c>
      <c r="FU22" s="97" t="str">
        <f t="shared" ref="FU22:FU29" si="134">if(and(FR22="",FS22=""), "none", "")</f>
        <v/>
      </c>
      <c r="FV22" s="100"/>
      <c r="FW22" s="7"/>
      <c r="FX22" s="7"/>
      <c r="FY22" s="7"/>
      <c r="FZ22" s="7"/>
      <c r="GA22" s="95" t="s">
        <v>217</v>
      </c>
      <c r="GB22" s="7"/>
      <c r="GC22" s="95" t="s">
        <v>217</v>
      </c>
      <c r="GD22" s="7"/>
      <c r="GE22" s="7"/>
      <c r="GF22" s="7"/>
      <c r="GG22" s="7"/>
      <c r="GH22" s="7"/>
      <c r="GI22" s="7"/>
      <c r="GJ22" s="7"/>
      <c r="GK22" s="7"/>
      <c r="GL22" s="95" t="s">
        <v>467</v>
      </c>
      <c r="GM22" s="7"/>
      <c r="GN22" s="95">
        <v>2.0</v>
      </c>
      <c r="GO22" s="95" t="s">
        <v>468</v>
      </c>
      <c r="GP22" s="121"/>
      <c r="GQ22" s="7"/>
      <c r="GR22" s="7"/>
      <c r="GS22" s="95" t="s">
        <v>469</v>
      </c>
      <c r="GT22" s="7"/>
      <c r="GU22" s="61" t="str">
        <f t="shared" si="36"/>
        <v/>
      </c>
      <c r="GV22" s="61" t="str">
        <f t="shared" si="37"/>
        <v/>
      </c>
      <c r="GW22" s="61" t="str">
        <f t="shared" si="38"/>
        <v/>
      </c>
      <c r="GX22" s="61" t="str">
        <f t="shared" si="39"/>
        <v/>
      </c>
      <c r="GY22" s="61" t="str">
        <f t="shared" si="40"/>
        <v/>
      </c>
      <c r="GZ22" s="61" t="str">
        <f t="shared" si="41"/>
        <v/>
      </c>
      <c r="HA22" s="61" t="str">
        <f t="shared" si="42"/>
        <v/>
      </c>
      <c r="HB22" s="61" t="str">
        <f t="shared" si="43"/>
        <v/>
      </c>
      <c r="HC22" s="61" t="str">
        <f t="shared" si="44"/>
        <v/>
      </c>
      <c r="HD22" s="61" t="str">
        <f t="shared" si="45"/>
        <v/>
      </c>
      <c r="HE22" s="61" t="str">
        <f t="shared" si="46"/>
        <v/>
      </c>
      <c r="HF22" s="61" t="str">
        <f t="shared" si="47"/>
        <v/>
      </c>
      <c r="HG22" s="61" t="str">
        <f t="shared" si="48"/>
        <v/>
      </c>
      <c r="HH22" s="61" t="str">
        <f t="shared" si="49"/>
        <v/>
      </c>
      <c r="HI22" s="61" t="str">
        <f t="shared" si="50"/>
        <v/>
      </c>
      <c r="HJ22" s="61" t="str">
        <f t="shared" si="51"/>
        <v/>
      </c>
      <c r="HK22" s="61" t="str">
        <f t="shared" si="52"/>
        <v/>
      </c>
      <c r="HL22" s="61" t="str">
        <f t="shared" si="53"/>
        <v/>
      </c>
      <c r="HM22" s="61" t="str">
        <f t="shared" si="54"/>
        <v/>
      </c>
      <c r="HN22" s="61" t="str">
        <f t="shared" si="55"/>
        <v/>
      </c>
      <c r="HO22" s="61" t="str">
        <f t="shared" si="56"/>
        <v/>
      </c>
      <c r="HP22" s="61" t="str">
        <f t="shared" si="57"/>
        <v/>
      </c>
      <c r="HQ22" s="61" t="str">
        <f t="shared" si="58"/>
        <v/>
      </c>
      <c r="HR22" s="61" t="str">
        <f t="shared" si="59"/>
        <v/>
      </c>
      <c r="HS22" s="61" t="str">
        <f t="shared" si="60"/>
        <v/>
      </c>
      <c r="HT22" s="61" t="str">
        <f t="shared" si="61"/>
        <v/>
      </c>
      <c r="HU22" s="61" t="str">
        <f t="shared" si="62"/>
        <v/>
      </c>
      <c r="HV22" s="61" t="str">
        <f t="shared" si="63"/>
        <v/>
      </c>
      <c r="HW22" s="61" t="str">
        <f t="shared" si="64"/>
        <v/>
      </c>
      <c r="HX22" s="61" t="str">
        <f t="shared" si="65"/>
        <v/>
      </c>
      <c r="HY22" s="61" t="str">
        <f t="shared" si="66"/>
        <v/>
      </c>
      <c r="HZ22" s="61" t="str">
        <f t="shared" si="67"/>
        <v/>
      </c>
    </row>
    <row r="23" ht="6.0" customHeight="1">
      <c r="A23" s="49" t="s">
        <v>470</v>
      </c>
      <c r="B23" s="80" t="s">
        <v>471</v>
      </c>
      <c r="C23" s="113" t="s">
        <v>472</v>
      </c>
      <c r="D23" s="80" t="s">
        <v>209</v>
      </c>
      <c r="E23" s="107">
        <f t="shared" si="3"/>
        <v>2</v>
      </c>
      <c r="F23" s="80" t="s">
        <v>245</v>
      </c>
      <c r="G23" s="80" t="s">
        <v>227</v>
      </c>
      <c r="H23" s="80">
        <v>2011.0</v>
      </c>
      <c r="J23" s="80" t="s">
        <v>473</v>
      </c>
      <c r="K23" s="61" t="str">
        <f t="shared" si="112"/>
        <v/>
      </c>
      <c r="L23" s="61">
        <f t="shared" si="113"/>
        <v>1</v>
      </c>
      <c r="M23" s="61" t="str">
        <f t="shared" si="114"/>
        <v/>
      </c>
      <c r="N23" s="61" t="str">
        <f t="shared" si="115"/>
        <v/>
      </c>
      <c r="O23" s="61" t="str">
        <f t="shared" si="116"/>
        <v/>
      </c>
      <c r="P23" s="61" t="str">
        <f t="shared" si="117"/>
        <v/>
      </c>
      <c r="Q23" s="61" t="b">
        <f t="shared" si="105"/>
        <v>1</v>
      </c>
      <c r="R23" s="61" t="b">
        <f t="shared" ref="R23:R29" si="135">SUM(S23:U23)&gt;=2</f>
        <v>1</v>
      </c>
      <c r="S23" s="80">
        <v>1.0</v>
      </c>
      <c r="T23" s="80">
        <v>1.0</v>
      </c>
      <c r="U23" s="80">
        <v>1.0</v>
      </c>
      <c r="V23" s="61" t="b">
        <f t="shared" si="118"/>
        <v>1</v>
      </c>
      <c r="W23" s="80">
        <v>1.0</v>
      </c>
      <c r="X23" s="80">
        <v>1.0</v>
      </c>
      <c r="Y23" s="80">
        <v>1.0</v>
      </c>
      <c r="AA23" s="61" t="str">
        <f t="shared" si="119"/>
        <v/>
      </c>
      <c r="AB23" s="61" t="str">
        <f t="shared" si="120"/>
        <v/>
      </c>
      <c r="AC23" s="114" t="s">
        <v>474</v>
      </c>
      <c r="AD23" s="80" t="s">
        <v>266</v>
      </c>
      <c r="AF23" s="61">
        <f>countif('Charts-SLR'!A:A,AD23)</f>
        <v>1</v>
      </c>
      <c r="AG23" s="80" t="s">
        <v>475</v>
      </c>
      <c r="AH23" s="61">
        <f t="shared" si="121"/>
        <v>0</v>
      </c>
      <c r="AI23" s="80" t="s">
        <v>231</v>
      </c>
      <c r="AJ23" s="80">
        <v>1.0</v>
      </c>
      <c r="AK23" s="108">
        <f t="shared" si="122"/>
        <v>1</v>
      </c>
      <c r="AL23" s="61">
        <f t="shared" si="123"/>
        <v>1</v>
      </c>
      <c r="AM23" s="61" t="str">
        <f t="shared" si="124"/>
        <v/>
      </c>
      <c r="AN23" s="61" t="str">
        <f t="shared" si="125"/>
        <v/>
      </c>
      <c r="AO23" s="61" t="str">
        <f t="shared" si="126"/>
        <v/>
      </c>
      <c r="AP23" s="61" t="str">
        <f t="shared" si="127"/>
        <v/>
      </c>
      <c r="AQ23" s="61" t="str">
        <f t="shared" si="128"/>
        <v/>
      </c>
      <c r="AR23" s="74"/>
      <c r="AS23" s="74"/>
      <c r="AT23" s="74"/>
      <c r="AU23" s="74"/>
      <c r="AV23" s="74"/>
      <c r="AW23" s="74"/>
      <c r="AX23" s="73" t="s">
        <v>217</v>
      </c>
      <c r="AY23" s="74"/>
      <c r="AZ23" s="74"/>
      <c r="BA23" s="74"/>
      <c r="BB23" s="109" t="str">
        <f t="shared" si="106"/>
        <v/>
      </c>
      <c r="BC23" s="73" t="s">
        <v>217</v>
      </c>
      <c r="BD23" s="73" t="s">
        <v>217</v>
      </c>
      <c r="BE23" s="74"/>
      <c r="BF23" s="74"/>
      <c r="BG23" s="73" t="s">
        <v>217</v>
      </c>
      <c r="BH23" s="74"/>
      <c r="BI23" s="110">
        <f t="shared" si="129"/>
        <v>3</v>
      </c>
      <c r="BJ23" s="74"/>
      <c r="BK23" s="74"/>
      <c r="BL23" s="74"/>
      <c r="BM23" s="74"/>
      <c r="BN23" s="74"/>
      <c r="BO23" s="74"/>
      <c r="BP23" s="73" t="s">
        <v>217</v>
      </c>
      <c r="BQ23" s="74"/>
      <c r="BR23" s="74"/>
      <c r="BS23" s="74"/>
      <c r="BT23" s="74"/>
      <c r="BU23" s="74"/>
      <c r="BV23" s="73" t="s">
        <v>217</v>
      </c>
      <c r="BW23" s="74"/>
      <c r="BX23" s="74"/>
      <c r="BY23" s="74"/>
      <c r="BZ23" s="74"/>
      <c r="CA23" s="74"/>
      <c r="CB23" s="73" t="s">
        <v>217</v>
      </c>
      <c r="CC23" s="73" t="s">
        <v>217</v>
      </c>
      <c r="CD23" s="74"/>
      <c r="CE23" s="74"/>
      <c r="CF23" s="74"/>
      <c r="CG23" s="74"/>
      <c r="CH23" s="73" t="s">
        <v>217</v>
      </c>
      <c r="CI23" s="111" t="str">
        <f t="shared" si="107"/>
        <v/>
      </c>
      <c r="CJ23" s="110">
        <f t="shared" si="130"/>
        <v>2</v>
      </c>
      <c r="CK23" s="74"/>
      <c r="CL23" s="74"/>
      <c r="CM23" s="73" t="s">
        <v>217</v>
      </c>
      <c r="CN23" s="73" t="s">
        <v>217</v>
      </c>
      <c r="CO23" s="74"/>
      <c r="CP23" s="74"/>
      <c r="CQ23" s="74"/>
      <c r="CX23" s="80" t="s">
        <v>217</v>
      </c>
      <c r="DG23" s="61">
        <f t="shared" si="108"/>
        <v>1</v>
      </c>
      <c r="DJ23" s="80" t="s">
        <v>217</v>
      </c>
      <c r="DM23" s="61">
        <f t="shared" si="131"/>
        <v>1</v>
      </c>
      <c r="DO23" s="80" t="s">
        <v>217</v>
      </c>
      <c r="DP23" s="61" t="str">
        <f t="shared" si="109"/>
        <v/>
      </c>
      <c r="DQ23" s="61" t="str">
        <f t="shared" si="110"/>
        <v/>
      </c>
      <c r="DR23" s="61" t="str">
        <f t="shared" si="111"/>
        <v>FA</v>
      </c>
      <c r="DS23" s="74"/>
      <c r="DT23" s="74"/>
      <c r="DU23" s="74"/>
      <c r="DV23" s="74"/>
      <c r="DW23" s="74"/>
      <c r="DX23" s="73" t="s">
        <v>476</v>
      </c>
      <c r="DY23" s="110">
        <f t="shared" si="29"/>
        <v>1</v>
      </c>
      <c r="DZ23" s="74"/>
      <c r="EA23" s="74"/>
      <c r="EB23" s="74"/>
      <c r="EC23" s="74"/>
      <c r="ED23" s="74"/>
      <c r="EE23" s="110">
        <f t="shared" si="30"/>
        <v>0</v>
      </c>
      <c r="EF23" s="110" t="str">
        <f t="shared" si="70"/>
        <v/>
      </c>
      <c r="EG23" s="61" t="str">
        <f t="shared" si="31"/>
        <v/>
      </c>
      <c r="EI23" s="80" t="s">
        <v>477</v>
      </c>
      <c r="EJ23" s="74"/>
      <c r="EK23" s="74"/>
      <c r="EL23" s="74"/>
      <c r="EM23" s="74"/>
      <c r="EN23" s="80" t="s">
        <v>217</v>
      </c>
      <c r="ES23" s="80" t="s">
        <v>478</v>
      </c>
      <c r="ET23" s="73">
        <v>0.0</v>
      </c>
      <c r="EU23" s="74"/>
      <c r="EV23" s="74"/>
      <c r="EW23" s="74"/>
      <c r="EX23" s="74"/>
      <c r="EZ23" s="80" t="s">
        <v>479</v>
      </c>
      <c r="FA23" s="80" t="s">
        <v>480</v>
      </c>
      <c r="FD23" s="80" t="s">
        <v>256</v>
      </c>
      <c r="FE23" s="97">
        <f t="shared" si="32"/>
        <v>2</v>
      </c>
      <c r="FF23" s="80">
        <v>1.0</v>
      </c>
      <c r="FG23" s="80">
        <v>1.0</v>
      </c>
      <c r="FH23" s="80">
        <v>0.5</v>
      </c>
      <c r="FI23" s="61">
        <f t="shared" ref="FI23:FI24" si="136">sum(FF23:FH23)</f>
        <v>2.5</v>
      </c>
      <c r="FJ23" s="80">
        <v>0.0</v>
      </c>
      <c r="FK23" s="80">
        <v>0.0</v>
      </c>
      <c r="FL23" s="80" t="s">
        <v>189</v>
      </c>
      <c r="FM23" s="61" t="str">
        <f t="shared" ref="FM23:FM24" si="137">if(GP23&lt;1000, "0", if(GP23&lt;10000, "0.5","1"))</f>
        <v>1</v>
      </c>
      <c r="FN23" s="61">
        <f t="shared" ref="FN23:FN24" si="138">sum(FJ23:FM23)</f>
        <v>0</v>
      </c>
      <c r="FP23" s="80" t="s">
        <v>217</v>
      </c>
      <c r="FQ23" s="61" t="str">
        <f t="shared" si="132"/>
        <v/>
      </c>
      <c r="FR23" s="80" t="s">
        <v>217</v>
      </c>
      <c r="FT23" s="61" t="str">
        <f t="shared" si="133"/>
        <v/>
      </c>
      <c r="FU23" s="61" t="str">
        <f t="shared" si="134"/>
        <v/>
      </c>
      <c r="FV23" s="74"/>
      <c r="GC23" s="80" t="s">
        <v>217</v>
      </c>
      <c r="GL23" s="80" t="s">
        <v>481</v>
      </c>
      <c r="GN23" s="80" t="s">
        <v>482</v>
      </c>
      <c r="GO23" s="80" t="s">
        <v>482</v>
      </c>
      <c r="GP23" s="112">
        <v>375000.0</v>
      </c>
      <c r="GS23" s="80" t="s">
        <v>483</v>
      </c>
      <c r="GU23" s="61" t="str">
        <f t="shared" si="36"/>
        <v/>
      </c>
      <c r="GV23" s="61" t="str">
        <f t="shared" si="37"/>
        <v/>
      </c>
      <c r="GW23" s="61" t="str">
        <f t="shared" si="38"/>
        <v/>
      </c>
      <c r="GX23" s="61" t="str">
        <f t="shared" si="39"/>
        <v/>
      </c>
      <c r="GY23" s="61" t="str">
        <f t="shared" si="40"/>
        <v/>
      </c>
      <c r="GZ23" s="61" t="str">
        <f t="shared" si="41"/>
        <v/>
      </c>
      <c r="HA23" s="61" t="str">
        <f t="shared" si="42"/>
        <v/>
      </c>
      <c r="HB23" s="61" t="str">
        <f t="shared" si="43"/>
        <v/>
      </c>
      <c r="HC23" s="61" t="str">
        <f t="shared" si="44"/>
        <v/>
      </c>
      <c r="HD23" s="61" t="str">
        <f t="shared" si="45"/>
        <v/>
      </c>
      <c r="HE23" s="61" t="str">
        <f t="shared" si="46"/>
        <v/>
      </c>
      <c r="HF23" s="61" t="str">
        <f t="shared" si="47"/>
        <v/>
      </c>
      <c r="HG23" s="61" t="str">
        <f t="shared" si="48"/>
        <v/>
      </c>
      <c r="HH23" s="61" t="str">
        <f t="shared" si="49"/>
        <v/>
      </c>
      <c r="HI23" s="61" t="str">
        <f t="shared" si="50"/>
        <v/>
      </c>
      <c r="HJ23" s="61" t="str">
        <f t="shared" si="51"/>
        <v/>
      </c>
      <c r="HK23" s="61" t="str">
        <f t="shared" si="52"/>
        <v/>
      </c>
      <c r="HL23" s="61" t="str">
        <f t="shared" si="53"/>
        <v/>
      </c>
      <c r="HM23" s="61" t="str">
        <f t="shared" si="54"/>
        <v/>
      </c>
      <c r="HN23" s="61" t="str">
        <f t="shared" si="55"/>
        <v/>
      </c>
      <c r="HO23" s="61" t="str">
        <f t="shared" si="56"/>
        <v/>
      </c>
      <c r="HP23" s="61" t="str">
        <f t="shared" si="57"/>
        <v/>
      </c>
      <c r="HQ23" s="61" t="str">
        <f t="shared" si="58"/>
        <v/>
      </c>
      <c r="HR23" s="61" t="str">
        <f t="shared" si="59"/>
        <v/>
      </c>
      <c r="HS23" s="61" t="str">
        <f t="shared" si="60"/>
        <v/>
      </c>
      <c r="HT23" s="61" t="str">
        <f t="shared" si="61"/>
        <v/>
      </c>
      <c r="HU23" s="61" t="str">
        <f t="shared" si="62"/>
        <v/>
      </c>
      <c r="HV23" s="61" t="str">
        <f t="shared" si="63"/>
        <v/>
      </c>
      <c r="HW23" s="61" t="str">
        <f t="shared" si="64"/>
        <v>x</v>
      </c>
      <c r="HX23" s="61" t="str">
        <f t="shared" si="65"/>
        <v/>
      </c>
      <c r="HY23" s="61" t="str">
        <f t="shared" si="66"/>
        <v/>
      </c>
      <c r="HZ23" s="61" t="str">
        <f t="shared" si="67"/>
        <v/>
      </c>
    </row>
    <row r="24" ht="1.5" customHeight="1">
      <c r="A24" s="49" t="s">
        <v>484</v>
      </c>
      <c r="B24" s="80" t="s">
        <v>485</v>
      </c>
      <c r="C24" s="113" t="s">
        <v>486</v>
      </c>
      <c r="D24" s="80" t="s">
        <v>245</v>
      </c>
      <c r="E24" s="107">
        <f t="shared" si="3"/>
        <v>2</v>
      </c>
      <c r="F24" s="80" t="s">
        <v>209</v>
      </c>
      <c r="G24" s="80" t="s">
        <v>211</v>
      </c>
      <c r="H24" s="80">
        <v>2009.0</v>
      </c>
      <c r="J24" s="80" t="s">
        <v>487</v>
      </c>
      <c r="K24" s="61" t="str">
        <f t="shared" si="112"/>
        <v/>
      </c>
      <c r="L24" s="61" t="str">
        <f t="shared" si="113"/>
        <v/>
      </c>
      <c r="M24" s="61" t="str">
        <f t="shared" si="114"/>
        <v/>
      </c>
      <c r="N24" s="61" t="str">
        <f t="shared" si="115"/>
        <v/>
      </c>
      <c r="O24" s="61" t="str">
        <f t="shared" si="116"/>
        <v/>
      </c>
      <c r="P24" s="61">
        <f t="shared" si="117"/>
        <v>1</v>
      </c>
      <c r="Q24" s="61" t="b">
        <f t="shared" si="105"/>
        <v>1</v>
      </c>
      <c r="R24" s="61" t="b">
        <f t="shared" si="135"/>
        <v>1</v>
      </c>
      <c r="S24" s="80">
        <v>1.0</v>
      </c>
      <c r="T24" s="80">
        <v>1.0</v>
      </c>
      <c r="U24" s="80">
        <v>1.0</v>
      </c>
      <c r="V24" s="61" t="b">
        <f t="shared" si="118"/>
        <v>1</v>
      </c>
      <c r="W24" s="80">
        <v>1.0</v>
      </c>
      <c r="X24" s="80">
        <v>1.0</v>
      </c>
      <c r="Y24" s="80">
        <v>1.0</v>
      </c>
      <c r="AA24" s="61" t="str">
        <f t="shared" si="119"/>
        <v/>
      </c>
      <c r="AB24" s="61" t="str">
        <f t="shared" si="120"/>
        <v/>
      </c>
      <c r="AC24" s="114" t="s">
        <v>488</v>
      </c>
      <c r="AD24" s="80" t="s">
        <v>266</v>
      </c>
      <c r="AF24" s="61">
        <f>countif('Charts-SLR'!A:A,AD24)</f>
        <v>1</v>
      </c>
      <c r="AG24" s="80" t="s">
        <v>312</v>
      </c>
      <c r="AH24" s="61">
        <f t="shared" si="121"/>
        <v>0</v>
      </c>
      <c r="AI24" s="80" t="s">
        <v>231</v>
      </c>
      <c r="AJ24" s="80">
        <v>8.0</v>
      </c>
      <c r="AK24" s="108">
        <f t="shared" si="122"/>
        <v>2.666666667</v>
      </c>
      <c r="AL24" s="61">
        <f t="shared" si="123"/>
        <v>8</v>
      </c>
      <c r="AM24" s="61" t="str">
        <f t="shared" si="124"/>
        <v/>
      </c>
      <c r="AN24" s="61" t="str">
        <f t="shared" si="125"/>
        <v/>
      </c>
      <c r="AO24" s="61" t="str">
        <f t="shared" si="126"/>
        <v/>
      </c>
      <c r="AP24" s="61" t="str">
        <f t="shared" si="127"/>
        <v/>
      </c>
      <c r="AQ24" s="61" t="str">
        <f t="shared" si="128"/>
        <v/>
      </c>
      <c r="AR24" s="74"/>
      <c r="AS24" s="74"/>
      <c r="AT24" s="74"/>
      <c r="AU24" s="74"/>
      <c r="AV24" s="74"/>
      <c r="AW24" s="74"/>
      <c r="AX24" s="74"/>
      <c r="AY24" s="73" t="s">
        <v>217</v>
      </c>
      <c r="AZ24" s="74"/>
      <c r="BA24" s="74"/>
      <c r="BB24" s="109" t="str">
        <f t="shared" si="106"/>
        <v/>
      </c>
      <c r="BC24" s="73" t="s">
        <v>217</v>
      </c>
      <c r="BD24" s="73" t="s">
        <v>217</v>
      </c>
      <c r="BE24" s="73" t="s">
        <v>217</v>
      </c>
      <c r="BF24" s="74"/>
      <c r="BG24" s="74"/>
      <c r="BH24" s="74"/>
      <c r="BI24" s="110">
        <f t="shared" si="129"/>
        <v>3</v>
      </c>
      <c r="BJ24" s="74"/>
      <c r="BK24" s="74"/>
      <c r="BL24" s="74"/>
      <c r="BM24" s="73" t="s">
        <v>489</v>
      </c>
      <c r="BN24" s="73" t="s">
        <v>303</v>
      </c>
      <c r="BO24" s="74"/>
      <c r="BP24" s="73" t="s">
        <v>217</v>
      </c>
      <c r="BQ24" s="74"/>
      <c r="BR24" s="74"/>
      <c r="BS24" s="74"/>
      <c r="BT24" s="74"/>
      <c r="BU24" s="74"/>
      <c r="BV24" s="73" t="s">
        <v>217</v>
      </c>
      <c r="BW24" s="74"/>
      <c r="BX24" s="74"/>
      <c r="BY24" s="73" t="s">
        <v>217</v>
      </c>
      <c r="BZ24" s="74"/>
      <c r="CA24" s="74"/>
      <c r="CB24" s="74"/>
      <c r="CC24" s="73" t="s">
        <v>217</v>
      </c>
      <c r="CD24" s="74"/>
      <c r="CE24" s="74"/>
      <c r="CF24" s="74"/>
      <c r="CG24" s="74"/>
      <c r="CH24" s="73" t="s">
        <v>217</v>
      </c>
      <c r="CI24" s="111" t="str">
        <f t="shared" si="107"/>
        <v/>
      </c>
      <c r="CJ24" s="110">
        <f t="shared" si="130"/>
        <v>2</v>
      </c>
      <c r="CK24" s="74"/>
      <c r="CL24" s="73" t="s">
        <v>217</v>
      </c>
      <c r="CM24" s="74"/>
      <c r="CN24" s="74"/>
      <c r="CO24" s="74"/>
      <c r="CP24" s="73" t="s">
        <v>217</v>
      </c>
      <c r="CQ24" s="74"/>
      <c r="DE24" s="80">
        <v>1.0</v>
      </c>
      <c r="DG24" s="61">
        <f t="shared" si="108"/>
        <v>1</v>
      </c>
      <c r="DI24" s="80" t="s">
        <v>217</v>
      </c>
      <c r="DJ24" s="80" t="s">
        <v>217</v>
      </c>
      <c r="DM24" s="61">
        <f t="shared" si="131"/>
        <v>2</v>
      </c>
      <c r="DN24" s="80" t="s">
        <v>217</v>
      </c>
      <c r="DO24" s="80" t="s">
        <v>217</v>
      </c>
      <c r="DP24" s="61" t="str">
        <f t="shared" si="109"/>
        <v>both</v>
      </c>
      <c r="DQ24" s="61" t="str">
        <f t="shared" si="110"/>
        <v/>
      </c>
      <c r="DR24" s="61" t="str">
        <f t="shared" si="111"/>
        <v/>
      </c>
      <c r="DS24" s="74"/>
      <c r="DT24" s="74"/>
      <c r="DU24" s="74"/>
      <c r="DV24" s="74"/>
      <c r="DW24" s="74"/>
      <c r="DX24" s="74"/>
      <c r="DY24" s="110">
        <f t="shared" si="29"/>
        <v>0</v>
      </c>
      <c r="DZ24" s="74"/>
      <c r="EA24" s="73" t="s">
        <v>217</v>
      </c>
      <c r="EB24" s="73" t="s">
        <v>217</v>
      </c>
      <c r="EC24" s="74"/>
      <c r="ED24" s="74"/>
      <c r="EE24" s="110">
        <f t="shared" si="30"/>
        <v>2</v>
      </c>
      <c r="EF24" s="110" t="str">
        <f t="shared" si="70"/>
        <v/>
      </c>
      <c r="EG24" s="61" t="str">
        <f t="shared" si="31"/>
        <v/>
      </c>
      <c r="EI24" s="80" t="s">
        <v>490</v>
      </c>
      <c r="EJ24" s="74"/>
      <c r="EK24" s="74"/>
      <c r="EL24" s="74"/>
      <c r="EM24" s="74"/>
      <c r="EP24" s="80" t="s">
        <v>217</v>
      </c>
      <c r="ES24" s="80" t="s">
        <v>491</v>
      </c>
      <c r="ET24" s="73">
        <v>0.0</v>
      </c>
      <c r="EU24" s="74"/>
      <c r="EV24" s="74"/>
      <c r="EW24" s="74"/>
      <c r="EX24" s="74"/>
      <c r="EZ24" s="80" t="s">
        <v>492</v>
      </c>
      <c r="FE24" s="97">
        <f t="shared" si="32"/>
        <v>0</v>
      </c>
      <c r="FF24" s="80">
        <v>0.5</v>
      </c>
      <c r="FG24" s="80">
        <v>0.5</v>
      </c>
      <c r="FH24" s="80">
        <v>0.0</v>
      </c>
      <c r="FI24" s="61">
        <f t="shared" si="136"/>
        <v>1</v>
      </c>
      <c r="FJ24" s="80">
        <v>0.0</v>
      </c>
      <c r="FK24" s="80">
        <v>0.0</v>
      </c>
      <c r="FL24" s="80" t="s">
        <v>189</v>
      </c>
      <c r="FM24" s="61" t="str">
        <f t="shared" si="137"/>
        <v>0</v>
      </c>
      <c r="FN24" s="61">
        <f t="shared" si="138"/>
        <v>0</v>
      </c>
      <c r="FP24" s="80" t="s">
        <v>217</v>
      </c>
      <c r="FQ24" s="61" t="str">
        <f t="shared" si="132"/>
        <v/>
      </c>
      <c r="FR24" s="80" t="s">
        <v>217</v>
      </c>
      <c r="FT24" s="61" t="str">
        <f t="shared" si="133"/>
        <v/>
      </c>
      <c r="FU24" s="61" t="str">
        <f t="shared" si="134"/>
        <v/>
      </c>
      <c r="FV24" s="74"/>
      <c r="FZ24" s="80" t="s">
        <v>217</v>
      </c>
      <c r="GH24" s="80" t="s">
        <v>217</v>
      </c>
      <c r="GL24" s="80" t="s">
        <v>493</v>
      </c>
      <c r="GN24" s="80">
        <v>4.0</v>
      </c>
      <c r="GO24" s="80" t="s">
        <v>494</v>
      </c>
      <c r="GP24" s="116"/>
      <c r="GQ24" s="80" t="s">
        <v>495</v>
      </c>
      <c r="GR24" s="80" t="s">
        <v>217</v>
      </c>
      <c r="GT24" s="80" t="s">
        <v>217</v>
      </c>
      <c r="GU24" s="61" t="str">
        <f t="shared" si="36"/>
        <v/>
      </c>
      <c r="GV24" s="61" t="str">
        <f t="shared" si="37"/>
        <v/>
      </c>
      <c r="GW24" s="61" t="str">
        <f t="shared" si="38"/>
        <v/>
      </c>
      <c r="GX24" s="61" t="str">
        <f t="shared" si="39"/>
        <v/>
      </c>
      <c r="GY24" s="61" t="str">
        <f t="shared" si="40"/>
        <v/>
      </c>
      <c r="GZ24" s="61" t="str">
        <f t="shared" si="41"/>
        <v/>
      </c>
      <c r="HA24" s="61" t="str">
        <f t="shared" si="42"/>
        <v/>
      </c>
      <c r="HB24" s="61" t="str">
        <f t="shared" si="43"/>
        <v/>
      </c>
      <c r="HC24" s="61" t="str">
        <f t="shared" si="44"/>
        <v/>
      </c>
      <c r="HD24" s="61" t="str">
        <f t="shared" si="45"/>
        <v/>
      </c>
      <c r="HE24" s="61" t="str">
        <f t="shared" si="46"/>
        <v/>
      </c>
      <c r="HF24" s="61" t="str">
        <f t="shared" si="47"/>
        <v/>
      </c>
      <c r="HG24" s="61" t="str">
        <f t="shared" si="48"/>
        <v/>
      </c>
      <c r="HH24" s="61" t="str">
        <f t="shared" si="49"/>
        <v/>
      </c>
      <c r="HI24" s="61" t="str">
        <f t="shared" si="50"/>
        <v/>
      </c>
      <c r="HJ24" s="61" t="str">
        <f t="shared" si="51"/>
        <v/>
      </c>
      <c r="HK24" s="61" t="str">
        <f t="shared" si="52"/>
        <v/>
      </c>
      <c r="HL24" s="61" t="str">
        <f t="shared" si="53"/>
        <v/>
      </c>
      <c r="HM24" s="61" t="str">
        <f t="shared" si="54"/>
        <v/>
      </c>
      <c r="HN24" s="61" t="str">
        <f t="shared" si="55"/>
        <v/>
      </c>
      <c r="HO24" s="61" t="str">
        <f t="shared" si="56"/>
        <v/>
      </c>
      <c r="HP24" s="61" t="str">
        <f t="shared" si="57"/>
        <v/>
      </c>
      <c r="HQ24" s="61" t="str">
        <f t="shared" si="58"/>
        <v/>
      </c>
      <c r="HR24" s="61" t="str">
        <f t="shared" si="59"/>
        <v/>
      </c>
      <c r="HS24" s="61" t="str">
        <f t="shared" si="60"/>
        <v/>
      </c>
      <c r="HT24" s="61" t="str">
        <f t="shared" si="61"/>
        <v/>
      </c>
      <c r="HU24" s="61" t="str">
        <f t="shared" si="62"/>
        <v/>
      </c>
      <c r="HV24" s="61" t="str">
        <f t="shared" si="63"/>
        <v/>
      </c>
      <c r="HW24" s="61" t="str">
        <f t="shared" si="64"/>
        <v/>
      </c>
      <c r="HX24" s="61" t="str">
        <f t="shared" si="65"/>
        <v>x</v>
      </c>
      <c r="HY24" s="61" t="str">
        <f t="shared" si="66"/>
        <v/>
      </c>
      <c r="HZ24" s="61" t="str">
        <f t="shared" si="67"/>
        <v/>
      </c>
    </row>
    <row r="25" ht="1.5" customHeight="1">
      <c r="A25" s="49" t="s">
        <v>496</v>
      </c>
      <c r="B25" s="129" t="s">
        <v>497</v>
      </c>
      <c r="C25" s="130" t="s">
        <v>498</v>
      </c>
      <c r="D25" s="131" t="s">
        <v>209</v>
      </c>
      <c r="E25" s="132" t="str">
        <f t="shared" si="3"/>
        <v/>
      </c>
      <c r="F25" s="131" t="s">
        <v>210</v>
      </c>
      <c r="G25" s="131" t="s">
        <v>211</v>
      </c>
      <c r="H25" s="131">
        <v>2004.0</v>
      </c>
      <c r="I25" s="133"/>
      <c r="J25" s="131" t="s">
        <v>499</v>
      </c>
      <c r="K25" s="134">
        <f t="shared" si="112"/>
        <v>1</v>
      </c>
      <c r="L25" s="134" t="str">
        <f t="shared" si="113"/>
        <v/>
      </c>
      <c r="M25" s="134" t="str">
        <f t="shared" si="114"/>
        <v/>
      </c>
      <c r="N25" s="134" t="str">
        <f t="shared" si="115"/>
        <v/>
      </c>
      <c r="O25" s="134" t="str">
        <f t="shared" si="116"/>
        <v/>
      </c>
      <c r="P25" s="134" t="str">
        <f t="shared" si="117"/>
        <v/>
      </c>
      <c r="Q25" s="134" t="b">
        <f t="shared" si="105"/>
        <v>1</v>
      </c>
      <c r="R25" s="134" t="b">
        <f t="shared" si="135"/>
        <v>1</v>
      </c>
      <c r="S25" s="131">
        <v>1.0</v>
      </c>
      <c r="T25" s="131">
        <v>1.0</v>
      </c>
      <c r="U25" s="131">
        <v>0.0</v>
      </c>
      <c r="V25" s="134" t="b">
        <f t="shared" si="118"/>
        <v>1</v>
      </c>
      <c r="W25" s="131">
        <v>1.0</v>
      </c>
      <c r="X25" s="131">
        <v>1.0</v>
      </c>
      <c r="Y25" s="131">
        <v>1.0</v>
      </c>
      <c r="Z25" s="131" t="s">
        <v>500</v>
      </c>
      <c r="AA25" s="134" t="str">
        <f t="shared" si="119"/>
        <v/>
      </c>
      <c r="AB25" s="134" t="str">
        <f t="shared" si="120"/>
        <v/>
      </c>
      <c r="AC25" s="129" t="s">
        <v>501</v>
      </c>
      <c r="AD25" s="131" t="s">
        <v>266</v>
      </c>
      <c r="AE25" s="133"/>
      <c r="AF25" s="134">
        <f>countif('Charts-SLR'!A:A,AD25)</f>
        <v>1</v>
      </c>
      <c r="AG25" s="131" t="s">
        <v>413</v>
      </c>
      <c r="AH25" s="134">
        <f t="shared" si="121"/>
        <v>0</v>
      </c>
      <c r="AI25" s="131" t="s">
        <v>268</v>
      </c>
      <c r="AJ25" s="131">
        <v>88.0</v>
      </c>
      <c r="AK25" s="135">
        <f t="shared" si="122"/>
        <v>11</v>
      </c>
      <c r="AL25" s="134" t="str">
        <f t="shared" si="123"/>
        <v/>
      </c>
      <c r="AM25" s="134" t="str">
        <f t="shared" si="124"/>
        <v/>
      </c>
      <c r="AN25" s="134" t="str">
        <f t="shared" si="125"/>
        <v/>
      </c>
      <c r="AO25" s="134" t="str">
        <f t="shared" si="126"/>
        <v/>
      </c>
      <c r="AP25" s="134">
        <f t="shared" si="127"/>
        <v>88</v>
      </c>
      <c r="AQ25" s="134" t="str">
        <f t="shared" si="128"/>
        <v/>
      </c>
      <c r="AR25" s="136"/>
      <c r="AS25" s="136"/>
      <c r="AT25" s="136"/>
      <c r="AU25" s="136"/>
      <c r="AV25" s="136"/>
      <c r="AW25" s="136"/>
      <c r="AX25" s="136"/>
      <c r="AY25" s="136"/>
      <c r="AZ25" s="136"/>
      <c r="BA25" s="136"/>
      <c r="BB25" s="137" t="str">
        <f t="shared" si="106"/>
        <v>ERR</v>
      </c>
      <c r="BC25" s="138" t="s">
        <v>217</v>
      </c>
      <c r="BD25" s="136"/>
      <c r="BE25" s="136"/>
      <c r="BF25" s="136"/>
      <c r="BG25" s="136"/>
      <c r="BH25" s="136"/>
      <c r="BI25" s="139">
        <f t="shared" si="129"/>
        <v>1</v>
      </c>
      <c r="BJ25" s="136"/>
      <c r="BK25" s="136"/>
      <c r="BL25" s="136"/>
      <c r="BM25" s="136"/>
      <c r="BN25" s="136"/>
      <c r="BO25" s="138" t="s">
        <v>217</v>
      </c>
      <c r="BP25" s="136"/>
      <c r="BQ25" s="136"/>
      <c r="BR25" s="136"/>
      <c r="BS25" s="136"/>
      <c r="BT25" s="136"/>
      <c r="BU25" s="74"/>
      <c r="BV25" s="136"/>
      <c r="BW25" s="136"/>
      <c r="BX25" s="138" t="s">
        <v>217</v>
      </c>
      <c r="BY25" s="138" t="s">
        <v>217</v>
      </c>
      <c r="BZ25" s="136"/>
      <c r="CA25" s="136"/>
      <c r="CB25" s="136"/>
      <c r="CC25" s="136"/>
      <c r="CD25" s="136"/>
      <c r="CE25" s="136"/>
      <c r="CF25" s="136"/>
      <c r="CG25" s="136"/>
      <c r="CH25" s="138" t="s">
        <v>217</v>
      </c>
      <c r="CI25" s="139" t="str">
        <f t="shared" si="107"/>
        <v/>
      </c>
      <c r="CJ25" s="139">
        <f t="shared" si="130"/>
        <v>2</v>
      </c>
      <c r="CK25" s="136"/>
      <c r="CL25" s="136"/>
      <c r="CM25" s="138" t="s">
        <v>217</v>
      </c>
      <c r="CN25" s="138" t="s">
        <v>217</v>
      </c>
      <c r="CO25" s="136"/>
      <c r="CP25" s="136"/>
      <c r="CQ25" s="136"/>
      <c r="CR25" s="133"/>
      <c r="CS25" s="133"/>
      <c r="CT25" s="133"/>
      <c r="CU25" s="133"/>
      <c r="CV25" s="133"/>
      <c r="CW25" s="133"/>
      <c r="CX25" s="131" t="s">
        <v>217</v>
      </c>
      <c r="CY25" s="133"/>
      <c r="CZ25" s="133"/>
      <c r="DA25" s="133"/>
      <c r="DB25" s="133"/>
      <c r="DC25" s="133"/>
      <c r="DD25" s="133"/>
      <c r="DE25" s="133"/>
      <c r="DF25" s="133"/>
      <c r="DG25" s="134">
        <f t="shared" si="108"/>
        <v>1</v>
      </c>
      <c r="DH25" s="131" t="s">
        <v>217</v>
      </c>
      <c r="DI25" s="133"/>
      <c r="DJ25" s="133"/>
      <c r="DK25" s="133"/>
      <c r="DL25" s="133"/>
      <c r="DM25" s="134">
        <f t="shared" si="131"/>
        <v>1</v>
      </c>
      <c r="DN25" s="131" t="s">
        <v>217</v>
      </c>
      <c r="DO25" s="131" t="s">
        <v>217</v>
      </c>
      <c r="DP25" s="134" t="str">
        <f t="shared" si="109"/>
        <v>both</v>
      </c>
      <c r="DQ25" s="134" t="str">
        <f t="shared" si="110"/>
        <v/>
      </c>
      <c r="DR25" s="134" t="str">
        <f t="shared" si="111"/>
        <v/>
      </c>
      <c r="DS25" s="136"/>
      <c r="DT25" s="136"/>
      <c r="DU25" s="136"/>
      <c r="DV25" s="138" t="s">
        <v>217</v>
      </c>
      <c r="DW25" s="136"/>
      <c r="DX25" s="136"/>
      <c r="DY25" s="139">
        <f t="shared" si="29"/>
        <v>1</v>
      </c>
      <c r="DZ25" s="136"/>
      <c r="EA25" s="136"/>
      <c r="EB25" s="136"/>
      <c r="EC25" s="136"/>
      <c r="ED25" s="136"/>
      <c r="EE25" s="139">
        <f t="shared" si="30"/>
        <v>0</v>
      </c>
      <c r="EF25" s="139" t="str">
        <f t="shared" si="70"/>
        <v/>
      </c>
      <c r="EG25" s="134" t="str">
        <f t="shared" si="31"/>
        <v/>
      </c>
      <c r="EH25" s="133"/>
      <c r="EI25" s="133"/>
      <c r="EJ25" s="136"/>
      <c r="EK25" s="136"/>
      <c r="EL25" s="136"/>
      <c r="EM25" s="136"/>
      <c r="EN25" s="133"/>
      <c r="EO25" s="133"/>
      <c r="EP25" s="133"/>
      <c r="EQ25" s="133"/>
      <c r="ER25" s="133"/>
      <c r="ES25" s="133"/>
      <c r="ET25" s="136"/>
      <c r="EU25" s="136"/>
      <c r="EV25" s="136"/>
      <c r="EW25" s="136"/>
      <c r="EX25" s="136"/>
      <c r="EY25" s="133"/>
      <c r="EZ25" s="133"/>
      <c r="FA25" s="133"/>
      <c r="FB25" s="133"/>
      <c r="FC25" s="133"/>
      <c r="FD25" s="133"/>
      <c r="FE25" s="97" t="str">
        <f t="shared" si="32"/>
        <v/>
      </c>
      <c r="FF25" s="133"/>
      <c r="FG25" s="133"/>
      <c r="FH25" s="133"/>
      <c r="FI25" s="133"/>
      <c r="FJ25" s="133"/>
      <c r="FK25" s="133"/>
      <c r="FL25" s="133"/>
      <c r="FM25" s="133"/>
      <c r="FN25" s="133"/>
      <c r="FO25" s="133"/>
      <c r="FP25" s="131" t="s">
        <v>217</v>
      </c>
      <c r="FQ25" s="134" t="str">
        <f t="shared" si="132"/>
        <v/>
      </c>
      <c r="FR25" s="131" t="s">
        <v>217</v>
      </c>
      <c r="FS25" s="133"/>
      <c r="FT25" s="134" t="str">
        <f t="shared" si="133"/>
        <v/>
      </c>
      <c r="FU25" s="134" t="str">
        <f t="shared" si="134"/>
        <v/>
      </c>
      <c r="FV25" s="136"/>
      <c r="FW25" s="131" t="s">
        <v>217</v>
      </c>
      <c r="FX25" s="131" t="s">
        <v>217</v>
      </c>
      <c r="FY25" s="131" t="s">
        <v>217</v>
      </c>
      <c r="FZ25" s="133"/>
      <c r="GA25" s="133"/>
      <c r="GB25" s="133"/>
      <c r="GC25" s="133"/>
      <c r="GD25" s="131" t="s">
        <v>217</v>
      </c>
      <c r="GE25" s="133"/>
      <c r="GF25" s="133"/>
      <c r="GG25" s="133"/>
      <c r="GH25" s="133"/>
      <c r="GI25" s="133"/>
      <c r="GJ25" s="133"/>
      <c r="GK25" s="131" t="s">
        <v>217</v>
      </c>
      <c r="GL25" s="133"/>
      <c r="GM25" s="133"/>
      <c r="GN25" s="131">
        <v>1.0</v>
      </c>
      <c r="GO25" s="131" t="s">
        <v>502</v>
      </c>
      <c r="GP25" s="140"/>
      <c r="GQ25" s="131" t="s">
        <v>503</v>
      </c>
      <c r="GR25" s="133"/>
      <c r="GS25" s="133"/>
      <c r="GT25" s="133"/>
      <c r="GU25" s="61" t="str">
        <f t="shared" si="36"/>
        <v/>
      </c>
      <c r="GV25" s="61" t="str">
        <f t="shared" si="37"/>
        <v/>
      </c>
      <c r="GW25" s="61" t="str">
        <f t="shared" si="38"/>
        <v/>
      </c>
      <c r="GX25" s="61" t="str">
        <f t="shared" si="39"/>
        <v/>
      </c>
      <c r="GY25" s="61" t="str">
        <f t="shared" si="40"/>
        <v/>
      </c>
      <c r="GZ25" s="61" t="str">
        <f t="shared" si="41"/>
        <v/>
      </c>
      <c r="HA25" s="61" t="str">
        <f t="shared" si="42"/>
        <v/>
      </c>
      <c r="HB25" s="61" t="str">
        <f t="shared" si="43"/>
        <v/>
      </c>
      <c r="HC25" s="61" t="str">
        <f t="shared" si="44"/>
        <v/>
      </c>
      <c r="HD25" s="61" t="str">
        <f t="shared" si="45"/>
        <v/>
      </c>
      <c r="HE25" s="61" t="str">
        <f t="shared" si="46"/>
        <v/>
      </c>
      <c r="HF25" s="61" t="str">
        <f t="shared" si="47"/>
        <v/>
      </c>
      <c r="HG25" s="61" t="str">
        <f t="shared" si="48"/>
        <v/>
      </c>
      <c r="HH25" s="61" t="str">
        <f t="shared" si="49"/>
        <v/>
      </c>
      <c r="HI25" s="61" t="str">
        <f t="shared" si="50"/>
        <v/>
      </c>
      <c r="HJ25" s="61" t="str">
        <f t="shared" si="51"/>
        <v/>
      </c>
      <c r="HK25" s="61" t="str">
        <f t="shared" si="52"/>
        <v/>
      </c>
      <c r="HL25" s="61" t="str">
        <f t="shared" si="53"/>
        <v/>
      </c>
      <c r="HM25" s="61" t="str">
        <f t="shared" si="54"/>
        <v/>
      </c>
      <c r="HN25" s="61" t="str">
        <f t="shared" si="55"/>
        <v/>
      </c>
      <c r="HO25" s="61" t="str">
        <f t="shared" si="56"/>
        <v/>
      </c>
      <c r="HP25" s="61" t="str">
        <f t="shared" si="57"/>
        <v/>
      </c>
      <c r="HQ25" s="61" t="str">
        <f t="shared" si="58"/>
        <v/>
      </c>
      <c r="HR25" s="61" t="str">
        <f t="shared" si="59"/>
        <v/>
      </c>
      <c r="HS25" s="61" t="str">
        <f t="shared" si="60"/>
        <v/>
      </c>
      <c r="HT25" s="61" t="str">
        <f t="shared" si="61"/>
        <v/>
      </c>
      <c r="HU25" s="61" t="str">
        <f t="shared" si="62"/>
        <v/>
      </c>
      <c r="HV25" s="61" t="str">
        <f t="shared" si="63"/>
        <v/>
      </c>
      <c r="HW25" s="61" t="str">
        <f t="shared" si="64"/>
        <v/>
      </c>
      <c r="HX25" s="61" t="str">
        <f t="shared" si="65"/>
        <v/>
      </c>
      <c r="HY25" s="61" t="str">
        <f t="shared" si="66"/>
        <v/>
      </c>
      <c r="HZ25" s="61" t="str">
        <f t="shared" si="67"/>
        <v/>
      </c>
    </row>
    <row r="26" ht="1.5" customHeight="1">
      <c r="A26" s="49" t="s">
        <v>504</v>
      </c>
      <c r="B26" s="80" t="s">
        <v>505</v>
      </c>
      <c r="C26" s="113" t="s">
        <v>506</v>
      </c>
      <c r="D26" s="80" t="s">
        <v>245</v>
      </c>
      <c r="E26" s="107">
        <f t="shared" si="3"/>
        <v>2</v>
      </c>
      <c r="F26" s="80" t="s">
        <v>209</v>
      </c>
      <c r="G26" s="80" t="s">
        <v>211</v>
      </c>
      <c r="H26" s="80">
        <v>2009.0</v>
      </c>
      <c r="J26" s="80" t="s">
        <v>507</v>
      </c>
      <c r="K26" s="61" t="str">
        <f t="shared" si="112"/>
        <v/>
      </c>
      <c r="L26" s="61" t="str">
        <f t="shared" si="113"/>
        <v/>
      </c>
      <c r="M26" s="61" t="str">
        <f t="shared" si="114"/>
        <v/>
      </c>
      <c r="N26" s="61" t="str">
        <f t="shared" si="115"/>
        <v/>
      </c>
      <c r="O26" s="61" t="str">
        <f t="shared" si="116"/>
        <v/>
      </c>
      <c r="P26" s="61">
        <f t="shared" si="117"/>
        <v>1</v>
      </c>
      <c r="Q26" s="61" t="b">
        <f t="shared" si="105"/>
        <v>1</v>
      </c>
      <c r="R26" s="61" t="b">
        <f t="shared" si="135"/>
        <v>1</v>
      </c>
      <c r="S26" s="80">
        <v>1.0</v>
      </c>
      <c r="T26" s="80">
        <v>1.0</v>
      </c>
      <c r="U26" s="80">
        <v>1.0</v>
      </c>
      <c r="V26" s="61" t="b">
        <f t="shared" si="118"/>
        <v>1</v>
      </c>
      <c r="W26" s="80">
        <v>1.0</v>
      </c>
      <c r="X26" s="80">
        <v>1.0</v>
      </c>
      <c r="Y26" s="80">
        <v>1.0</v>
      </c>
      <c r="AA26" s="61" t="str">
        <f t="shared" si="119"/>
        <v/>
      </c>
      <c r="AB26" s="61" t="str">
        <f t="shared" si="120"/>
        <v/>
      </c>
      <c r="AC26" s="114" t="s">
        <v>508</v>
      </c>
      <c r="AD26" s="80" t="s">
        <v>266</v>
      </c>
      <c r="AF26" s="61">
        <f>countif('Charts-SLR'!A:A,AD26)</f>
        <v>1</v>
      </c>
      <c r="AG26" s="80" t="s">
        <v>267</v>
      </c>
      <c r="AH26" s="61">
        <f t="shared" si="121"/>
        <v>0</v>
      </c>
      <c r="AI26" s="80" t="s">
        <v>250</v>
      </c>
      <c r="AJ26" s="80">
        <v>7.0</v>
      </c>
      <c r="AK26" s="108">
        <f t="shared" si="122"/>
        <v>2.333333333</v>
      </c>
      <c r="AL26" s="61" t="str">
        <f t="shared" si="123"/>
        <v/>
      </c>
      <c r="AM26" s="61">
        <f t="shared" si="124"/>
        <v>7</v>
      </c>
      <c r="AN26" s="61" t="str">
        <f t="shared" si="125"/>
        <v/>
      </c>
      <c r="AO26" s="61" t="str">
        <f t="shared" si="126"/>
        <v/>
      </c>
      <c r="AP26" s="61" t="str">
        <f t="shared" si="127"/>
        <v/>
      </c>
      <c r="AQ26" s="61" t="str">
        <f t="shared" si="128"/>
        <v/>
      </c>
      <c r="AR26" s="74"/>
      <c r="AS26" s="74"/>
      <c r="AT26" s="74"/>
      <c r="AU26" s="74"/>
      <c r="AV26" s="73" t="s">
        <v>217</v>
      </c>
      <c r="AW26" s="74"/>
      <c r="AX26" s="74"/>
      <c r="AY26" s="74"/>
      <c r="AZ26" s="74"/>
      <c r="BA26" s="74"/>
      <c r="BB26" s="109" t="str">
        <f t="shared" si="106"/>
        <v/>
      </c>
      <c r="BC26" s="73" t="s">
        <v>217</v>
      </c>
      <c r="BD26" s="74"/>
      <c r="BE26" s="74"/>
      <c r="BF26" s="74"/>
      <c r="BG26" s="74"/>
      <c r="BH26" s="74"/>
      <c r="BI26" s="110">
        <f t="shared" si="129"/>
        <v>1</v>
      </c>
      <c r="BJ26" s="74"/>
      <c r="BK26" s="74"/>
      <c r="BL26" s="74"/>
      <c r="BM26" s="74"/>
      <c r="BN26" s="74"/>
      <c r="BO26" s="74"/>
      <c r="BP26" s="73" t="s">
        <v>217</v>
      </c>
      <c r="BQ26" s="74"/>
      <c r="BR26" s="74"/>
      <c r="BS26" s="74"/>
      <c r="BT26" s="74"/>
      <c r="BU26" s="74"/>
      <c r="BV26" s="73" t="s">
        <v>217</v>
      </c>
      <c r="BW26" s="73" t="s">
        <v>217</v>
      </c>
      <c r="BX26" s="74"/>
      <c r="BY26" s="73" t="s">
        <v>217</v>
      </c>
      <c r="BZ26" s="74"/>
      <c r="CA26" s="74"/>
      <c r="CB26" s="74"/>
      <c r="CC26" s="74"/>
      <c r="CD26" s="74"/>
      <c r="CE26" s="74"/>
      <c r="CF26" s="74"/>
      <c r="CG26" s="74"/>
      <c r="CH26" s="73" t="s">
        <v>217</v>
      </c>
      <c r="CI26" s="111" t="str">
        <f t="shared" si="107"/>
        <v/>
      </c>
      <c r="CJ26" s="110">
        <f t="shared" si="130"/>
        <v>2</v>
      </c>
      <c r="CK26" s="74"/>
      <c r="CL26" s="73" t="s">
        <v>217</v>
      </c>
      <c r="CM26" s="73" t="s">
        <v>217</v>
      </c>
      <c r="CN26" s="74"/>
      <c r="CO26" s="74"/>
      <c r="CP26" s="74"/>
      <c r="CQ26" s="74"/>
      <c r="CR26" s="80" t="s">
        <v>217</v>
      </c>
      <c r="DE26" s="80" t="s">
        <v>217</v>
      </c>
      <c r="DG26" s="61">
        <f t="shared" si="108"/>
        <v>1</v>
      </c>
      <c r="DH26" s="80" t="s">
        <v>217</v>
      </c>
      <c r="DI26" s="80" t="s">
        <v>217</v>
      </c>
      <c r="DM26" s="61">
        <f t="shared" si="131"/>
        <v>2</v>
      </c>
      <c r="DO26" s="80" t="s">
        <v>217</v>
      </c>
      <c r="DP26" s="61" t="str">
        <f t="shared" si="109"/>
        <v/>
      </c>
      <c r="DQ26" s="61" t="str">
        <f t="shared" si="110"/>
        <v/>
      </c>
      <c r="DR26" s="61" t="str">
        <f t="shared" si="111"/>
        <v>FA</v>
      </c>
      <c r="DS26" s="74"/>
      <c r="DT26" s="74"/>
      <c r="DU26" s="74"/>
      <c r="DV26" s="73" t="s">
        <v>217</v>
      </c>
      <c r="DW26" s="73" t="s">
        <v>217</v>
      </c>
      <c r="DX26" s="74"/>
      <c r="DY26" s="110">
        <f t="shared" si="29"/>
        <v>2</v>
      </c>
      <c r="DZ26" s="74"/>
      <c r="EA26" s="74"/>
      <c r="EB26" s="74"/>
      <c r="EC26" s="74"/>
      <c r="ED26" s="74"/>
      <c r="EE26" s="110">
        <f t="shared" si="30"/>
        <v>0</v>
      </c>
      <c r="EF26" s="110" t="str">
        <f t="shared" si="70"/>
        <v/>
      </c>
      <c r="EG26" s="61" t="str">
        <f t="shared" si="31"/>
        <v/>
      </c>
      <c r="EI26" s="80" t="s">
        <v>509</v>
      </c>
      <c r="EJ26" s="74"/>
      <c r="EK26" s="74"/>
      <c r="EL26" s="74"/>
      <c r="EM26" s="73" t="s">
        <v>217</v>
      </c>
      <c r="EN26" s="80" t="s">
        <v>217</v>
      </c>
      <c r="ES26" s="80" t="s">
        <v>510</v>
      </c>
      <c r="ET26" s="73">
        <v>0.0</v>
      </c>
      <c r="EU26" s="74"/>
      <c r="EV26" s="74"/>
      <c r="EW26" s="74"/>
      <c r="EX26" s="74"/>
      <c r="EZ26" s="80" t="s">
        <v>511</v>
      </c>
      <c r="FE26" s="97">
        <f t="shared" si="32"/>
        <v>0</v>
      </c>
      <c r="FF26" s="80">
        <v>0.5</v>
      </c>
      <c r="FG26" s="80">
        <v>0.5</v>
      </c>
      <c r="FH26" s="80">
        <v>0.0</v>
      </c>
      <c r="FI26" s="61">
        <f>sum(FF26:FH26)</f>
        <v>1</v>
      </c>
      <c r="FJ26" s="80">
        <v>1.0</v>
      </c>
      <c r="FK26" s="80">
        <v>0.0</v>
      </c>
      <c r="FL26" s="80" t="s">
        <v>189</v>
      </c>
      <c r="FM26" s="61" t="str">
        <f>if(GP26&lt;1000, "0", if(GP26&lt;10000, "0.5","1"))</f>
        <v>0</v>
      </c>
      <c r="FN26" s="61">
        <f>sum(FJ26:FM26)</f>
        <v>1</v>
      </c>
      <c r="FP26" s="80" t="s">
        <v>217</v>
      </c>
      <c r="FQ26" s="61" t="str">
        <f t="shared" si="132"/>
        <v/>
      </c>
      <c r="FR26" s="80" t="s">
        <v>217</v>
      </c>
      <c r="FT26" s="61" t="str">
        <f t="shared" si="133"/>
        <v/>
      </c>
      <c r="FU26" s="61" t="str">
        <f t="shared" si="134"/>
        <v/>
      </c>
      <c r="FV26" s="73" t="s">
        <v>217</v>
      </c>
      <c r="FW26" s="80" t="s">
        <v>217</v>
      </c>
      <c r="GD26" s="80" t="s">
        <v>217</v>
      </c>
      <c r="GN26" s="80">
        <v>2.0</v>
      </c>
      <c r="GO26" s="80" t="s">
        <v>512</v>
      </c>
      <c r="GP26" s="116"/>
      <c r="GQ26" s="80" t="s">
        <v>513</v>
      </c>
      <c r="GS26" s="80" t="s">
        <v>217</v>
      </c>
      <c r="GU26" s="61" t="str">
        <f t="shared" si="36"/>
        <v/>
      </c>
      <c r="GV26" s="61" t="str">
        <f t="shared" si="37"/>
        <v/>
      </c>
      <c r="GW26" s="61" t="str">
        <f t="shared" si="38"/>
        <v/>
      </c>
      <c r="GX26" s="61" t="str">
        <f t="shared" si="39"/>
        <v/>
      </c>
      <c r="GY26" s="61" t="str">
        <f t="shared" si="40"/>
        <v/>
      </c>
      <c r="GZ26" s="61" t="str">
        <f t="shared" si="41"/>
        <v/>
      </c>
      <c r="HA26" s="61" t="str">
        <f t="shared" si="42"/>
        <v/>
      </c>
      <c r="HB26" s="61" t="str">
        <f t="shared" si="43"/>
        <v/>
      </c>
      <c r="HC26" s="61" t="str">
        <f t="shared" si="44"/>
        <v/>
      </c>
      <c r="HD26" s="61" t="str">
        <f t="shared" si="45"/>
        <v/>
      </c>
      <c r="HE26" s="61" t="str">
        <f t="shared" si="46"/>
        <v/>
      </c>
      <c r="HF26" s="61" t="str">
        <f t="shared" si="47"/>
        <v/>
      </c>
      <c r="HG26" s="61" t="str">
        <f t="shared" si="48"/>
        <v/>
      </c>
      <c r="HH26" s="61" t="str">
        <f t="shared" si="49"/>
        <v/>
      </c>
      <c r="HI26" s="61" t="str">
        <f t="shared" si="50"/>
        <v/>
      </c>
      <c r="HJ26" s="61" t="str">
        <f t="shared" si="51"/>
        <v/>
      </c>
      <c r="HK26" s="61" t="str">
        <f t="shared" si="52"/>
        <v/>
      </c>
      <c r="HL26" s="61" t="str">
        <f t="shared" si="53"/>
        <v/>
      </c>
      <c r="HM26" s="61" t="str">
        <f t="shared" si="54"/>
        <v/>
      </c>
      <c r="HN26" s="61" t="str">
        <f t="shared" si="55"/>
        <v/>
      </c>
      <c r="HO26" s="61" t="str">
        <f t="shared" si="56"/>
        <v/>
      </c>
      <c r="HP26" s="61" t="str">
        <f t="shared" si="57"/>
        <v/>
      </c>
      <c r="HQ26" s="61" t="str">
        <f t="shared" si="58"/>
        <v/>
      </c>
      <c r="HR26" s="61" t="str">
        <f t="shared" si="59"/>
        <v/>
      </c>
      <c r="HS26" s="61" t="str">
        <f t="shared" si="60"/>
        <v/>
      </c>
      <c r="HT26" s="61" t="str">
        <f t="shared" si="61"/>
        <v/>
      </c>
      <c r="HU26" s="61" t="str">
        <f t="shared" si="62"/>
        <v/>
      </c>
      <c r="HV26" s="61" t="str">
        <f t="shared" si="63"/>
        <v/>
      </c>
      <c r="HW26" s="61" t="str">
        <f t="shared" si="64"/>
        <v/>
      </c>
      <c r="HX26" s="61" t="str">
        <f t="shared" si="65"/>
        <v/>
      </c>
      <c r="HY26" s="61" t="str">
        <f t="shared" si="66"/>
        <v/>
      </c>
      <c r="HZ26" s="61" t="str">
        <f t="shared" si="67"/>
        <v/>
      </c>
    </row>
    <row r="27" ht="1.5" customHeight="1">
      <c r="A27" s="49" t="s">
        <v>514</v>
      </c>
      <c r="B27" s="95" t="s">
        <v>515</v>
      </c>
      <c r="C27" s="117" t="s">
        <v>516</v>
      </c>
      <c r="D27" s="95" t="s">
        <v>209</v>
      </c>
      <c r="E27" s="96" t="str">
        <f t="shared" si="3"/>
        <v/>
      </c>
      <c r="F27" s="95" t="s">
        <v>245</v>
      </c>
      <c r="G27" s="95" t="s">
        <v>211</v>
      </c>
      <c r="H27" s="95">
        <v>2004.0</v>
      </c>
      <c r="I27" s="7"/>
      <c r="J27" s="95" t="s">
        <v>517</v>
      </c>
      <c r="K27" s="97" t="str">
        <f t="shared" si="112"/>
        <v/>
      </c>
      <c r="L27" s="97">
        <f t="shared" si="113"/>
        <v>1</v>
      </c>
      <c r="M27" s="97" t="str">
        <f t="shared" si="114"/>
        <v/>
      </c>
      <c r="N27" s="97" t="str">
        <f t="shared" si="115"/>
        <v/>
      </c>
      <c r="O27" s="97" t="str">
        <f t="shared" si="116"/>
        <v/>
      </c>
      <c r="P27" s="97" t="str">
        <f t="shared" si="117"/>
        <v/>
      </c>
      <c r="Q27" s="97" t="b">
        <f t="shared" si="105"/>
        <v>1</v>
      </c>
      <c r="R27" s="97" t="b">
        <f t="shared" si="135"/>
        <v>1</v>
      </c>
      <c r="S27" s="95">
        <v>1.0</v>
      </c>
      <c r="T27" s="95">
        <v>1.0</v>
      </c>
      <c r="U27" s="95">
        <v>1.0</v>
      </c>
      <c r="V27" s="97" t="b">
        <f t="shared" si="118"/>
        <v>1</v>
      </c>
      <c r="W27" s="95">
        <v>0.0</v>
      </c>
      <c r="X27" s="95">
        <v>1.0</v>
      </c>
      <c r="Y27" s="95">
        <v>1.0</v>
      </c>
      <c r="Z27" s="7"/>
      <c r="AA27" s="97" t="str">
        <f t="shared" si="119"/>
        <v>Sampath:icsm04, </v>
      </c>
      <c r="AB27" s="97" t="str">
        <f t="shared" si="120"/>
        <v/>
      </c>
      <c r="AC27" s="95" t="s">
        <v>518</v>
      </c>
      <c r="AD27" s="95" t="s">
        <v>266</v>
      </c>
      <c r="AE27" s="7"/>
      <c r="AF27" s="97">
        <f>countif('Charts-SLR'!A:A,AD27)</f>
        <v>1</v>
      </c>
      <c r="AG27" s="95" t="s">
        <v>334</v>
      </c>
      <c r="AH27" s="97">
        <f t="shared" si="121"/>
        <v>0</v>
      </c>
      <c r="AI27" s="95" t="s">
        <v>250</v>
      </c>
      <c r="AJ27" s="95">
        <v>24.0</v>
      </c>
      <c r="AK27" s="99">
        <f t="shared" si="122"/>
        <v>3</v>
      </c>
      <c r="AL27" s="97" t="str">
        <f t="shared" si="123"/>
        <v/>
      </c>
      <c r="AM27" s="97">
        <f t="shared" si="124"/>
        <v>24</v>
      </c>
      <c r="AN27" s="97" t="str">
        <f t="shared" si="125"/>
        <v/>
      </c>
      <c r="AO27" s="97" t="str">
        <f t="shared" si="126"/>
        <v/>
      </c>
      <c r="AP27" s="97" t="str">
        <f t="shared" si="127"/>
        <v/>
      </c>
      <c r="AQ27" s="97" t="str">
        <f t="shared" si="128"/>
        <v/>
      </c>
      <c r="AR27" s="100"/>
      <c r="AS27" s="100"/>
      <c r="AT27" s="100"/>
      <c r="AU27" s="100"/>
      <c r="AV27" s="100"/>
      <c r="AW27" s="100"/>
      <c r="AX27" s="100"/>
      <c r="AY27" s="100"/>
      <c r="AZ27" s="100"/>
      <c r="BA27" s="100"/>
      <c r="BB27" s="101" t="str">
        <f t="shared" si="106"/>
        <v>ERR</v>
      </c>
      <c r="BC27" s="102" t="s">
        <v>217</v>
      </c>
      <c r="BD27" s="102" t="s">
        <v>217</v>
      </c>
      <c r="BE27" s="102" t="s">
        <v>217</v>
      </c>
      <c r="BF27" s="100"/>
      <c r="BG27" s="102" t="s">
        <v>217</v>
      </c>
      <c r="BH27" s="100"/>
      <c r="BI27" s="103">
        <f t="shared" si="129"/>
        <v>4</v>
      </c>
      <c r="BJ27" s="100"/>
      <c r="BK27" s="100"/>
      <c r="BL27" s="100"/>
      <c r="BM27" s="102" t="s">
        <v>519</v>
      </c>
      <c r="BN27" s="102" t="s">
        <v>218</v>
      </c>
      <c r="BO27" s="102" t="s">
        <v>217</v>
      </c>
      <c r="BP27" s="100"/>
      <c r="BQ27" s="100"/>
      <c r="BR27" s="100"/>
      <c r="BS27" s="100"/>
      <c r="BT27" s="100"/>
      <c r="BU27" s="74"/>
      <c r="BV27" s="102" t="s">
        <v>217</v>
      </c>
      <c r="BW27" s="100"/>
      <c r="BX27" s="100"/>
      <c r="BY27" s="102" t="s">
        <v>217</v>
      </c>
      <c r="BZ27" s="100"/>
      <c r="CA27" s="102" t="s">
        <v>217</v>
      </c>
      <c r="CB27" s="102" t="s">
        <v>217</v>
      </c>
      <c r="CC27" s="102" t="s">
        <v>217</v>
      </c>
      <c r="CD27" s="100"/>
      <c r="CE27" s="100"/>
      <c r="CF27" s="100"/>
      <c r="CG27" s="100"/>
      <c r="CH27" s="102" t="s">
        <v>217</v>
      </c>
      <c r="CI27" s="103" t="str">
        <f t="shared" si="107"/>
        <v/>
      </c>
      <c r="CJ27" s="103">
        <f t="shared" si="130"/>
        <v>2</v>
      </c>
      <c r="CK27" s="100"/>
      <c r="CL27" s="100"/>
      <c r="CM27" s="102" t="s">
        <v>217</v>
      </c>
      <c r="CN27" s="102" t="s">
        <v>217</v>
      </c>
      <c r="CO27" s="100"/>
      <c r="CP27" s="100"/>
      <c r="CQ27" s="100"/>
      <c r="CR27" s="95" t="s">
        <v>217</v>
      </c>
      <c r="CS27" s="7"/>
      <c r="CT27" s="7"/>
      <c r="CU27" s="7"/>
      <c r="CV27" s="7"/>
      <c r="CW27" s="7"/>
      <c r="CX27" s="7"/>
      <c r="CY27" s="7"/>
      <c r="CZ27" s="7"/>
      <c r="DA27" s="7"/>
      <c r="DB27" s="7"/>
      <c r="DC27" s="7"/>
      <c r="DD27" s="95" t="s">
        <v>217</v>
      </c>
      <c r="DE27" s="7"/>
      <c r="DF27" s="95" t="s">
        <v>217</v>
      </c>
      <c r="DG27" s="97">
        <f t="shared" si="108"/>
        <v>2</v>
      </c>
      <c r="DH27" s="95" t="s">
        <v>217</v>
      </c>
      <c r="DI27" s="7"/>
      <c r="DJ27" s="95" t="s">
        <v>217</v>
      </c>
      <c r="DK27" s="7"/>
      <c r="DL27" s="7"/>
      <c r="DM27" s="97">
        <f t="shared" si="131"/>
        <v>2</v>
      </c>
      <c r="DN27" s="7"/>
      <c r="DO27" s="95" t="s">
        <v>217</v>
      </c>
      <c r="DP27" s="97" t="str">
        <f t="shared" si="109"/>
        <v/>
      </c>
      <c r="DQ27" s="97" t="str">
        <f t="shared" si="110"/>
        <v/>
      </c>
      <c r="DR27" s="97" t="str">
        <f t="shared" si="111"/>
        <v>FA</v>
      </c>
      <c r="DS27" s="100"/>
      <c r="DT27" s="100"/>
      <c r="DU27" s="100"/>
      <c r="DV27" s="100"/>
      <c r="DW27" s="100"/>
      <c r="DX27" s="100"/>
      <c r="DY27" s="103">
        <f t="shared" si="29"/>
        <v>0</v>
      </c>
      <c r="DZ27" s="100"/>
      <c r="EA27" s="100"/>
      <c r="EB27" s="100"/>
      <c r="EC27" s="100"/>
      <c r="ED27" s="100"/>
      <c r="EE27" s="103">
        <f t="shared" si="30"/>
        <v>0</v>
      </c>
      <c r="EF27" s="103" t="str">
        <f t="shared" si="70"/>
        <v/>
      </c>
      <c r="EG27" s="97" t="str">
        <f t="shared" si="31"/>
        <v/>
      </c>
      <c r="EH27" s="7"/>
      <c r="EI27" s="7"/>
      <c r="EJ27" s="100"/>
      <c r="EK27" s="100"/>
      <c r="EL27" s="100"/>
      <c r="EM27" s="100"/>
      <c r="EN27" s="95" t="s">
        <v>217</v>
      </c>
      <c r="EO27" s="7"/>
      <c r="EP27" s="7"/>
      <c r="EQ27" s="7"/>
      <c r="ER27" s="7"/>
      <c r="ES27" s="7"/>
      <c r="ET27" s="100"/>
      <c r="EU27" s="100"/>
      <c r="EV27" s="100"/>
      <c r="EW27" s="100"/>
      <c r="EX27" s="100"/>
      <c r="EY27" s="7"/>
      <c r="EZ27" s="7"/>
      <c r="FA27" s="7"/>
      <c r="FB27" s="7"/>
      <c r="FC27" s="7"/>
      <c r="FD27" s="7"/>
      <c r="FE27" s="97" t="str">
        <f t="shared" si="32"/>
        <v/>
      </c>
      <c r="FF27" s="7"/>
      <c r="FG27" s="7"/>
      <c r="FH27" s="7"/>
      <c r="FI27" s="7"/>
      <c r="FJ27" s="7"/>
      <c r="FK27" s="7"/>
      <c r="FL27" s="7"/>
      <c r="FM27" s="7"/>
      <c r="FN27" s="7"/>
      <c r="FO27" s="7"/>
      <c r="FP27" s="95" t="s">
        <v>217</v>
      </c>
      <c r="FQ27" s="97" t="str">
        <f t="shared" si="132"/>
        <v/>
      </c>
      <c r="FR27" s="95" t="s">
        <v>217</v>
      </c>
      <c r="FS27" s="7"/>
      <c r="FT27" s="97" t="str">
        <f t="shared" si="133"/>
        <v/>
      </c>
      <c r="FU27" s="97" t="str">
        <f t="shared" si="134"/>
        <v/>
      </c>
      <c r="FV27" s="100"/>
      <c r="FW27" s="7"/>
      <c r="FX27" s="7"/>
      <c r="FY27" s="7"/>
      <c r="FZ27" s="95" t="s">
        <v>217</v>
      </c>
      <c r="GA27" s="7"/>
      <c r="GB27" s="7"/>
      <c r="GC27" s="7"/>
      <c r="GD27" s="95" t="s">
        <v>217</v>
      </c>
      <c r="GE27" s="7"/>
      <c r="GF27" s="7"/>
      <c r="GG27" s="7"/>
      <c r="GH27" s="7"/>
      <c r="GI27" s="7"/>
      <c r="GJ27" s="7"/>
      <c r="GK27" s="7"/>
      <c r="GL27" s="95" t="s">
        <v>313</v>
      </c>
      <c r="GM27" s="7"/>
      <c r="GN27" s="7"/>
      <c r="GO27" s="7"/>
      <c r="GP27" s="105">
        <v>9748.0</v>
      </c>
      <c r="GQ27" s="95" t="s">
        <v>520</v>
      </c>
      <c r="GR27" s="7"/>
      <c r="GS27" s="95" t="s">
        <v>217</v>
      </c>
      <c r="GT27" s="7"/>
      <c r="GU27" s="61" t="str">
        <f t="shared" si="36"/>
        <v/>
      </c>
      <c r="GV27" s="61" t="str">
        <f t="shared" si="37"/>
        <v/>
      </c>
      <c r="GW27" s="61" t="str">
        <f t="shared" si="38"/>
        <v/>
      </c>
      <c r="GX27" s="61" t="str">
        <f t="shared" si="39"/>
        <v/>
      </c>
      <c r="GY27" s="61" t="str">
        <f t="shared" si="40"/>
        <v/>
      </c>
      <c r="GZ27" s="61" t="str">
        <f t="shared" si="41"/>
        <v/>
      </c>
      <c r="HA27" s="61" t="str">
        <f t="shared" si="42"/>
        <v/>
      </c>
      <c r="HB27" s="61" t="str">
        <f t="shared" si="43"/>
        <v/>
      </c>
      <c r="HC27" s="61" t="str">
        <f t="shared" si="44"/>
        <v/>
      </c>
      <c r="HD27" s="61" t="str">
        <f t="shared" si="45"/>
        <v/>
      </c>
      <c r="HE27" s="61" t="str">
        <f t="shared" si="46"/>
        <v/>
      </c>
      <c r="HF27" s="61" t="str">
        <f t="shared" si="47"/>
        <v/>
      </c>
      <c r="HG27" s="61" t="str">
        <f t="shared" si="48"/>
        <v/>
      </c>
      <c r="HH27" s="61" t="str">
        <f t="shared" si="49"/>
        <v/>
      </c>
      <c r="HI27" s="61" t="str">
        <f t="shared" si="50"/>
        <v/>
      </c>
      <c r="HJ27" s="61" t="str">
        <f t="shared" si="51"/>
        <v/>
      </c>
      <c r="HK27" s="61" t="str">
        <f t="shared" si="52"/>
        <v/>
      </c>
      <c r="HL27" s="61" t="str">
        <f t="shared" si="53"/>
        <v/>
      </c>
      <c r="HM27" s="61" t="str">
        <f t="shared" si="54"/>
        <v/>
      </c>
      <c r="HN27" s="61" t="str">
        <f t="shared" si="55"/>
        <v/>
      </c>
      <c r="HO27" s="61" t="str">
        <f t="shared" si="56"/>
        <v/>
      </c>
      <c r="HP27" s="61" t="str">
        <f t="shared" si="57"/>
        <v/>
      </c>
      <c r="HQ27" s="61" t="str">
        <f t="shared" si="58"/>
        <v/>
      </c>
      <c r="HR27" s="61" t="str">
        <f t="shared" si="59"/>
        <v/>
      </c>
      <c r="HS27" s="61" t="str">
        <f t="shared" si="60"/>
        <v/>
      </c>
      <c r="HT27" s="61" t="str">
        <f t="shared" si="61"/>
        <v/>
      </c>
      <c r="HU27" s="61" t="str">
        <f t="shared" si="62"/>
        <v/>
      </c>
      <c r="HV27" s="61" t="str">
        <f t="shared" si="63"/>
        <v/>
      </c>
      <c r="HW27" s="61" t="str">
        <f t="shared" si="64"/>
        <v/>
      </c>
      <c r="HX27" s="61" t="str">
        <f t="shared" si="65"/>
        <v/>
      </c>
      <c r="HY27" s="61" t="str">
        <f t="shared" si="66"/>
        <v/>
      </c>
      <c r="HZ27" s="61" t="str">
        <f t="shared" si="67"/>
        <v/>
      </c>
    </row>
    <row r="28" ht="1.5" customHeight="1">
      <c r="A28" s="49" t="s">
        <v>521</v>
      </c>
      <c r="B28" s="95" t="s">
        <v>522</v>
      </c>
      <c r="C28" s="117" t="s">
        <v>523</v>
      </c>
      <c r="D28" s="95" t="s">
        <v>209</v>
      </c>
      <c r="E28" s="96" t="str">
        <f t="shared" si="3"/>
        <v/>
      </c>
      <c r="F28" s="95" t="s">
        <v>245</v>
      </c>
      <c r="G28" s="95" t="s">
        <v>227</v>
      </c>
      <c r="H28" s="95">
        <v>2002.0</v>
      </c>
      <c r="I28" s="7"/>
      <c r="J28" s="95" t="s">
        <v>524</v>
      </c>
      <c r="K28" s="97" t="str">
        <f t="shared" si="112"/>
        <v/>
      </c>
      <c r="L28" s="97">
        <f t="shared" si="113"/>
        <v>1</v>
      </c>
      <c r="M28" s="97" t="str">
        <f t="shared" si="114"/>
        <v/>
      </c>
      <c r="N28" s="97" t="str">
        <f t="shared" si="115"/>
        <v/>
      </c>
      <c r="O28" s="97" t="str">
        <f t="shared" si="116"/>
        <v/>
      </c>
      <c r="P28" s="97" t="str">
        <f t="shared" si="117"/>
        <v/>
      </c>
      <c r="Q28" s="97" t="b">
        <f t="shared" si="105"/>
        <v>1</v>
      </c>
      <c r="R28" s="97" t="b">
        <f t="shared" si="135"/>
        <v>1</v>
      </c>
      <c r="S28" s="95">
        <v>1.0</v>
      </c>
      <c r="T28" s="95">
        <v>1.0</v>
      </c>
      <c r="U28" s="95">
        <v>1.0</v>
      </c>
      <c r="V28" s="97" t="b">
        <f t="shared" si="118"/>
        <v>1</v>
      </c>
      <c r="W28" s="95">
        <v>1.0</v>
      </c>
      <c r="X28" s="95">
        <v>1.0</v>
      </c>
      <c r="Y28" s="95">
        <v>1.0</v>
      </c>
      <c r="Z28" s="7"/>
      <c r="AA28" s="97" t="str">
        <f t="shared" si="119"/>
        <v/>
      </c>
      <c r="AB28" s="97" t="str">
        <f t="shared" si="120"/>
        <v/>
      </c>
      <c r="AC28" s="98" t="s">
        <v>525</v>
      </c>
      <c r="AD28" s="95" t="s">
        <v>266</v>
      </c>
      <c r="AE28" s="7"/>
      <c r="AF28" s="97">
        <f>countif('Charts-SLR'!A:A,AD28)</f>
        <v>1</v>
      </c>
      <c r="AG28" s="95" t="s">
        <v>526</v>
      </c>
      <c r="AH28" s="97">
        <f t="shared" si="121"/>
        <v>0</v>
      </c>
      <c r="AI28" s="95" t="s">
        <v>231</v>
      </c>
      <c r="AJ28" s="95">
        <v>28.0</v>
      </c>
      <c r="AK28" s="99">
        <f t="shared" si="122"/>
        <v>2.8</v>
      </c>
      <c r="AL28" s="97">
        <f t="shared" si="123"/>
        <v>28</v>
      </c>
      <c r="AM28" s="97" t="str">
        <f t="shared" si="124"/>
        <v/>
      </c>
      <c r="AN28" s="97" t="str">
        <f t="shared" si="125"/>
        <v/>
      </c>
      <c r="AO28" s="97" t="str">
        <f t="shared" si="126"/>
        <v/>
      </c>
      <c r="AP28" s="97" t="str">
        <f t="shared" si="127"/>
        <v/>
      </c>
      <c r="AQ28" s="97" t="str">
        <f t="shared" si="128"/>
        <v/>
      </c>
      <c r="AR28" s="100"/>
      <c r="AS28" s="100"/>
      <c r="AT28" s="100"/>
      <c r="AU28" s="100"/>
      <c r="AV28" s="100"/>
      <c r="AW28" s="100"/>
      <c r="AX28" s="100"/>
      <c r="AY28" s="100"/>
      <c r="AZ28" s="100"/>
      <c r="BA28" s="100"/>
      <c r="BB28" s="101" t="str">
        <f t="shared" si="106"/>
        <v>ERR</v>
      </c>
      <c r="BC28" s="102" t="s">
        <v>217</v>
      </c>
      <c r="BD28" s="102" t="s">
        <v>217</v>
      </c>
      <c r="BE28" s="102" t="s">
        <v>217</v>
      </c>
      <c r="BF28" s="100"/>
      <c r="BG28" s="100"/>
      <c r="BH28" s="100"/>
      <c r="BI28" s="103">
        <f t="shared" si="129"/>
        <v>3</v>
      </c>
      <c r="BJ28" s="100"/>
      <c r="BK28" s="100"/>
      <c r="BL28" s="100"/>
      <c r="BM28" s="102" t="s">
        <v>527</v>
      </c>
      <c r="BN28" s="102" t="s">
        <v>218</v>
      </c>
      <c r="BO28" s="102" t="s">
        <v>217</v>
      </c>
      <c r="BP28" s="100"/>
      <c r="BQ28" s="100"/>
      <c r="BR28" s="100"/>
      <c r="BS28" s="100"/>
      <c r="BT28" s="100"/>
      <c r="BU28" s="74"/>
      <c r="BV28" s="102" t="s">
        <v>217</v>
      </c>
      <c r="BW28" s="100"/>
      <c r="BX28" s="100"/>
      <c r="BY28" s="102" t="s">
        <v>217</v>
      </c>
      <c r="BZ28" s="100"/>
      <c r="CA28" s="102" t="s">
        <v>217</v>
      </c>
      <c r="CB28" s="102" t="s">
        <v>217</v>
      </c>
      <c r="CC28" s="102" t="s">
        <v>217</v>
      </c>
      <c r="CD28" s="100"/>
      <c r="CE28" s="100"/>
      <c r="CF28" s="100"/>
      <c r="CG28" s="102" t="s">
        <v>217</v>
      </c>
      <c r="CH28" s="102" t="s">
        <v>217</v>
      </c>
      <c r="CI28" s="102" t="s">
        <v>217</v>
      </c>
      <c r="CJ28" s="103">
        <f t="shared" si="130"/>
        <v>1</v>
      </c>
      <c r="CK28" s="100"/>
      <c r="CL28" s="100"/>
      <c r="CM28" s="102" t="s">
        <v>217</v>
      </c>
      <c r="CN28" s="102" t="s">
        <v>217</v>
      </c>
      <c r="CO28" s="100"/>
      <c r="CP28" s="100"/>
      <c r="CQ28" s="100"/>
      <c r="CR28" s="7"/>
      <c r="CS28" s="7"/>
      <c r="CT28" s="7"/>
      <c r="CU28" s="7"/>
      <c r="CV28" s="7"/>
      <c r="CW28" s="7"/>
      <c r="CX28" s="7"/>
      <c r="CY28" s="95" t="s">
        <v>217</v>
      </c>
      <c r="CZ28" s="7"/>
      <c r="DA28" s="7"/>
      <c r="DB28" s="7"/>
      <c r="DC28" s="7"/>
      <c r="DD28" s="95" t="s">
        <v>217</v>
      </c>
      <c r="DE28" s="7"/>
      <c r="DF28" s="7"/>
      <c r="DG28" s="97">
        <f t="shared" si="108"/>
        <v>2</v>
      </c>
      <c r="DH28" s="95" t="s">
        <v>217</v>
      </c>
      <c r="DI28" s="7"/>
      <c r="DJ28" s="95" t="s">
        <v>217</v>
      </c>
      <c r="DK28" s="95" t="s">
        <v>217</v>
      </c>
      <c r="DL28" s="7"/>
      <c r="DM28" s="97">
        <f t="shared" si="131"/>
        <v>3</v>
      </c>
      <c r="DN28" s="7"/>
      <c r="DO28" s="95" t="s">
        <v>217</v>
      </c>
      <c r="DP28" s="97" t="str">
        <f t="shared" si="109"/>
        <v/>
      </c>
      <c r="DQ28" s="97" t="str">
        <f t="shared" si="110"/>
        <v/>
      </c>
      <c r="DR28" s="97" t="str">
        <f t="shared" si="111"/>
        <v>FA</v>
      </c>
      <c r="DS28" s="100"/>
      <c r="DT28" s="100"/>
      <c r="DU28" s="100"/>
      <c r="DV28" s="100"/>
      <c r="DW28" s="100"/>
      <c r="DX28" s="100"/>
      <c r="DY28" s="103">
        <f t="shared" si="29"/>
        <v>0</v>
      </c>
      <c r="DZ28" s="100"/>
      <c r="EA28" s="100"/>
      <c r="EB28" s="100"/>
      <c r="EC28" s="100"/>
      <c r="ED28" s="100"/>
      <c r="EE28" s="103">
        <f t="shared" si="30"/>
        <v>0</v>
      </c>
      <c r="EF28" s="103" t="str">
        <f t="shared" si="70"/>
        <v/>
      </c>
      <c r="EG28" s="97" t="str">
        <f t="shared" si="31"/>
        <v/>
      </c>
      <c r="EH28" s="7"/>
      <c r="EI28" s="7"/>
      <c r="EJ28" s="100"/>
      <c r="EK28" s="100"/>
      <c r="EL28" s="100"/>
      <c r="EM28" s="100"/>
      <c r="EN28" s="7"/>
      <c r="EO28" s="7"/>
      <c r="EP28" s="7"/>
      <c r="EQ28" s="7"/>
      <c r="ER28" s="7"/>
      <c r="ES28" s="7"/>
      <c r="ET28" s="100"/>
      <c r="EU28" s="100"/>
      <c r="EV28" s="100"/>
      <c r="EW28" s="100"/>
      <c r="EX28" s="100"/>
      <c r="EY28" s="7"/>
      <c r="EZ28" s="7"/>
      <c r="FA28" s="7"/>
      <c r="FB28" s="7"/>
      <c r="FC28" s="7"/>
      <c r="FD28" s="7"/>
      <c r="FE28" s="97" t="str">
        <f t="shared" si="32"/>
        <v/>
      </c>
      <c r="FF28" s="7"/>
      <c r="FG28" s="7"/>
      <c r="FH28" s="7"/>
      <c r="FI28" s="7"/>
      <c r="FJ28" s="7"/>
      <c r="FK28" s="7"/>
      <c r="FL28" s="7"/>
      <c r="FM28" s="7"/>
      <c r="FN28" s="7"/>
      <c r="FO28" s="7"/>
      <c r="FP28" s="95" t="s">
        <v>217</v>
      </c>
      <c r="FQ28" s="97" t="str">
        <f t="shared" si="132"/>
        <v/>
      </c>
      <c r="FR28" s="95" t="s">
        <v>217</v>
      </c>
      <c r="FS28" s="7"/>
      <c r="FT28" s="97" t="str">
        <f t="shared" si="133"/>
        <v/>
      </c>
      <c r="FU28" s="97" t="str">
        <f t="shared" si="134"/>
        <v/>
      </c>
      <c r="FV28" s="100"/>
      <c r="FW28" s="95" t="s">
        <v>217</v>
      </c>
      <c r="FX28" s="7"/>
      <c r="FY28" s="95" t="s">
        <v>217</v>
      </c>
      <c r="FZ28" s="7"/>
      <c r="GA28" s="7"/>
      <c r="GB28" s="7"/>
      <c r="GC28" s="7"/>
      <c r="GD28" s="95" t="s">
        <v>217</v>
      </c>
      <c r="GE28" s="95" t="s">
        <v>528</v>
      </c>
      <c r="GF28" s="7"/>
      <c r="GG28" s="7"/>
      <c r="GH28" s="7"/>
      <c r="GI28" s="7"/>
      <c r="GJ28" s="7"/>
      <c r="GK28" s="7"/>
      <c r="GL28" s="7"/>
      <c r="GM28" s="7"/>
      <c r="GN28" s="7"/>
      <c r="GO28" s="7"/>
      <c r="GP28" s="121"/>
      <c r="GQ28" s="7"/>
      <c r="GR28" s="7"/>
      <c r="GS28" s="7"/>
      <c r="GT28" s="7"/>
      <c r="GU28" s="61" t="str">
        <f t="shared" si="36"/>
        <v/>
      </c>
      <c r="GV28" s="61" t="str">
        <f t="shared" si="37"/>
        <v/>
      </c>
      <c r="GW28" s="61" t="str">
        <f t="shared" si="38"/>
        <v/>
      </c>
      <c r="GX28" s="61" t="str">
        <f t="shared" si="39"/>
        <v>x</v>
      </c>
      <c r="GY28" s="61" t="str">
        <f t="shared" si="40"/>
        <v/>
      </c>
      <c r="GZ28" s="61" t="str">
        <f t="shared" si="41"/>
        <v/>
      </c>
      <c r="HA28" s="61" t="str">
        <f t="shared" si="42"/>
        <v/>
      </c>
      <c r="HB28" s="61" t="str">
        <f t="shared" si="43"/>
        <v/>
      </c>
      <c r="HC28" s="61" t="str">
        <f t="shared" si="44"/>
        <v>x</v>
      </c>
      <c r="HD28" s="61" t="str">
        <f t="shared" si="45"/>
        <v/>
      </c>
      <c r="HE28" s="61" t="str">
        <f t="shared" si="46"/>
        <v/>
      </c>
      <c r="HF28" s="61" t="str">
        <f t="shared" si="47"/>
        <v/>
      </c>
      <c r="HG28" s="61" t="str">
        <f t="shared" si="48"/>
        <v/>
      </c>
      <c r="HH28" s="61" t="str">
        <f t="shared" si="49"/>
        <v/>
      </c>
      <c r="HI28" s="61" t="str">
        <f t="shared" si="50"/>
        <v/>
      </c>
      <c r="HJ28" s="61" t="str">
        <f t="shared" si="51"/>
        <v/>
      </c>
      <c r="HK28" s="61" t="str">
        <f t="shared" si="52"/>
        <v/>
      </c>
      <c r="HL28" s="61" t="str">
        <f t="shared" si="53"/>
        <v/>
      </c>
      <c r="HM28" s="61" t="str">
        <f t="shared" si="54"/>
        <v/>
      </c>
      <c r="HN28" s="61" t="str">
        <f t="shared" si="55"/>
        <v/>
      </c>
      <c r="HO28" s="61" t="str">
        <f t="shared" si="56"/>
        <v/>
      </c>
      <c r="HP28" s="61" t="str">
        <f t="shared" si="57"/>
        <v/>
      </c>
      <c r="HQ28" s="61" t="str">
        <f t="shared" si="58"/>
        <v/>
      </c>
      <c r="HR28" s="61" t="str">
        <f t="shared" si="59"/>
        <v/>
      </c>
      <c r="HS28" s="61" t="str">
        <f t="shared" si="60"/>
        <v/>
      </c>
      <c r="HT28" s="61" t="str">
        <f t="shared" si="61"/>
        <v/>
      </c>
      <c r="HU28" s="61" t="str">
        <f t="shared" si="62"/>
        <v/>
      </c>
      <c r="HV28" s="61" t="str">
        <f t="shared" si="63"/>
        <v/>
      </c>
      <c r="HW28" s="61" t="str">
        <f t="shared" si="64"/>
        <v/>
      </c>
      <c r="HX28" s="61" t="str">
        <f t="shared" si="65"/>
        <v/>
      </c>
      <c r="HY28" s="61" t="str">
        <f t="shared" si="66"/>
        <v/>
      </c>
      <c r="HZ28" s="61" t="str">
        <f t="shared" si="67"/>
        <v/>
      </c>
    </row>
    <row r="29" ht="1.5" customHeight="1">
      <c r="A29" s="49" t="s">
        <v>529</v>
      </c>
      <c r="B29" s="95" t="s">
        <v>530</v>
      </c>
      <c r="C29" s="117" t="s">
        <v>531</v>
      </c>
      <c r="D29" s="95" t="s">
        <v>209</v>
      </c>
      <c r="E29" s="96" t="str">
        <f t="shared" si="3"/>
        <v/>
      </c>
      <c r="F29" s="95" t="s">
        <v>245</v>
      </c>
      <c r="G29" s="95" t="s">
        <v>227</v>
      </c>
      <c r="H29" s="95">
        <v>2002.0</v>
      </c>
      <c r="I29" s="7"/>
      <c r="J29" s="95" t="s">
        <v>532</v>
      </c>
      <c r="K29" s="97" t="str">
        <f t="shared" si="112"/>
        <v/>
      </c>
      <c r="L29" s="97">
        <f t="shared" si="113"/>
        <v>1</v>
      </c>
      <c r="M29" s="97" t="str">
        <f t="shared" si="114"/>
        <v/>
      </c>
      <c r="N29" s="97" t="str">
        <f t="shared" si="115"/>
        <v/>
      </c>
      <c r="O29" s="97" t="str">
        <f t="shared" si="116"/>
        <v/>
      </c>
      <c r="P29" s="97" t="str">
        <f t="shared" si="117"/>
        <v/>
      </c>
      <c r="Q29" s="97" t="b">
        <f t="shared" si="105"/>
        <v>1</v>
      </c>
      <c r="R29" s="97" t="b">
        <f t="shared" si="135"/>
        <v>1</v>
      </c>
      <c r="S29" s="95">
        <v>1.0</v>
      </c>
      <c r="T29" s="95">
        <v>1.0</v>
      </c>
      <c r="U29" s="95">
        <v>1.0</v>
      </c>
      <c r="V29" s="97" t="b">
        <f t="shared" si="118"/>
        <v>1</v>
      </c>
      <c r="W29" s="95">
        <v>0.0</v>
      </c>
      <c r="X29" s="95">
        <v>1.0</v>
      </c>
      <c r="Y29" s="95">
        <v>1.0</v>
      </c>
      <c r="Z29" s="95" t="s">
        <v>533</v>
      </c>
      <c r="AA29" s="97" t="str">
        <f t="shared" si="119"/>
        <v/>
      </c>
      <c r="AB29" s="97" t="str">
        <f t="shared" si="120"/>
        <v/>
      </c>
      <c r="AC29" s="98" t="s">
        <v>348</v>
      </c>
      <c r="AD29" s="95" t="s">
        <v>214</v>
      </c>
      <c r="AE29" s="7"/>
      <c r="AF29" s="97">
        <f>countif('Charts-SLR'!A:A,AD29)</f>
        <v>1</v>
      </c>
      <c r="AG29" s="95" t="s">
        <v>534</v>
      </c>
      <c r="AH29" s="97">
        <f t="shared" si="121"/>
        <v>0</v>
      </c>
      <c r="AI29" s="95" t="s">
        <v>216</v>
      </c>
      <c r="AJ29" s="95">
        <v>24.0</v>
      </c>
      <c r="AK29" s="99">
        <f t="shared" si="122"/>
        <v>2.4</v>
      </c>
      <c r="AL29" s="97" t="str">
        <f t="shared" si="123"/>
        <v/>
      </c>
      <c r="AM29" s="97" t="str">
        <f t="shared" si="124"/>
        <v/>
      </c>
      <c r="AN29" s="97">
        <f t="shared" si="125"/>
        <v>24</v>
      </c>
      <c r="AO29" s="97" t="str">
        <f t="shared" si="126"/>
        <v/>
      </c>
      <c r="AP29" s="97" t="str">
        <f t="shared" si="127"/>
        <v/>
      </c>
      <c r="AQ29" s="97" t="str">
        <f t="shared" si="128"/>
        <v/>
      </c>
      <c r="AR29" s="100"/>
      <c r="AS29" s="100"/>
      <c r="AT29" s="100"/>
      <c r="AU29" s="100"/>
      <c r="AV29" s="100"/>
      <c r="AW29" s="100"/>
      <c r="AX29" s="100"/>
      <c r="AY29" s="100"/>
      <c r="AZ29" s="100"/>
      <c r="BA29" s="100"/>
      <c r="BB29" s="101" t="str">
        <f t="shared" si="106"/>
        <v>ERR</v>
      </c>
      <c r="BC29" s="102" t="s">
        <v>217</v>
      </c>
      <c r="BD29" s="100"/>
      <c r="BE29" s="100"/>
      <c r="BF29" s="100"/>
      <c r="BG29" s="100"/>
      <c r="BH29" s="100"/>
      <c r="BI29" s="103">
        <f t="shared" si="129"/>
        <v>1</v>
      </c>
      <c r="BJ29" s="100"/>
      <c r="BK29" s="100"/>
      <c r="BL29" s="100"/>
      <c r="BM29" s="100"/>
      <c r="BN29" s="100"/>
      <c r="BO29" s="102" t="s">
        <v>217</v>
      </c>
      <c r="BP29" s="100"/>
      <c r="BQ29" s="100"/>
      <c r="BR29" s="100"/>
      <c r="BS29" s="100"/>
      <c r="BT29" s="100"/>
      <c r="BU29" s="74"/>
      <c r="BV29" s="100"/>
      <c r="BW29" s="102" t="s">
        <v>217</v>
      </c>
      <c r="BX29" s="102" t="s">
        <v>217</v>
      </c>
      <c r="BY29" s="100"/>
      <c r="BZ29" s="100"/>
      <c r="CA29" s="100"/>
      <c r="CB29" s="100"/>
      <c r="CC29" s="100"/>
      <c r="CD29" s="100"/>
      <c r="CE29" s="102" t="s">
        <v>217</v>
      </c>
      <c r="CF29" s="102" t="s">
        <v>535</v>
      </c>
      <c r="CG29" s="102" t="s">
        <v>217</v>
      </c>
      <c r="CH29" s="102" t="s">
        <v>217</v>
      </c>
      <c r="CI29" s="102" t="s">
        <v>217</v>
      </c>
      <c r="CJ29" s="103">
        <f t="shared" si="130"/>
        <v>1</v>
      </c>
      <c r="CK29" s="100"/>
      <c r="CL29" s="100"/>
      <c r="CM29" s="100"/>
      <c r="CN29" s="102" t="s">
        <v>217</v>
      </c>
      <c r="CO29" s="100"/>
      <c r="CP29" s="100"/>
      <c r="CQ29" s="100"/>
      <c r="CR29" s="7"/>
      <c r="CS29" s="7"/>
      <c r="CT29" s="7"/>
      <c r="CU29" s="7"/>
      <c r="CV29" s="7"/>
      <c r="CW29" s="7"/>
      <c r="CX29" s="95" t="s">
        <v>217</v>
      </c>
      <c r="CY29" s="7"/>
      <c r="CZ29" s="7"/>
      <c r="DA29" s="7"/>
      <c r="DB29" s="7"/>
      <c r="DC29" s="7"/>
      <c r="DD29" s="7"/>
      <c r="DE29" s="7"/>
      <c r="DF29" s="7"/>
      <c r="DG29" s="97">
        <f t="shared" si="108"/>
        <v>1</v>
      </c>
      <c r="DH29" s="7"/>
      <c r="DI29" s="7"/>
      <c r="DJ29" s="7"/>
      <c r="DK29" s="7"/>
      <c r="DL29" s="95" t="s">
        <v>217</v>
      </c>
      <c r="DM29" s="97">
        <f t="shared" si="131"/>
        <v>1</v>
      </c>
      <c r="DN29" s="7"/>
      <c r="DO29" s="95" t="s">
        <v>217</v>
      </c>
      <c r="DP29" s="97" t="str">
        <f t="shared" si="109"/>
        <v/>
      </c>
      <c r="DQ29" s="97" t="str">
        <f t="shared" si="110"/>
        <v/>
      </c>
      <c r="DR29" s="97" t="str">
        <f t="shared" si="111"/>
        <v>FA</v>
      </c>
      <c r="DS29" s="100"/>
      <c r="DT29" s="100"/>
      <c r="DU29" s="100"/>
      <c r="DV29" s="100"/>
      <c r="DW29" s="100"/>
      <c r="DX29" s="100"/>
      <c r="DY29" s="103">
        <f t="shared" si="29"/>
        <v>0</v>
      </c>
      <c r="DZ29" s="100"/>
      <c r="EA29" s="100"/>
      <c r="EB29" s="100"/>
      <c r="EC29" s="100"/>
      <c r="ED29" s="100"/>
      <c r="EE29" s="103">
        <f t="shared" si="30"/>
        <v>0</v>
      </c>
      <c r="EF29" s="103" t="str">
        <f t="shared" si="70"/>
        <v/>
      </c>
      <c r="EG29" s="97" t="str">
        <f t="shared" si="31"/>
        <v/>
      </c>
      <c r="EH29" s="7"/>
      <c r="EI29" s="7"/>
      <c r="EJ29" s="100"/>
      <c r="EK29" s="100"/>
      <c r="EL29" s="100"/>
      <c r="EM29" s="100"/>
      <c r="EN29" s="7"/>
      <c r="EO29" s="95" t="s">
        <v>217</v>
      </c>
      <c r="EP29" s="7"/>
      <c r="EQ29" s="7"/>
      <c r="ER29" s="7"/>
      <c r="ES29" s="7"/>
      <c r="ET29" s="100"/>
      <c r="EU29" s="100"/>
      <c r="EV29" s="100"/>
      <c r="EW29" s="100"/>
      <c r="EX29" s="100"/>
      <c r="EY29" s="7"/>
      <c r="EZ29" s="7"/>
      <c r="FA29" s="7"/>
      <c r="FB29" s="7"/>
      <c r="FC29" s="7"/>
      <c r="FD29" s="7"/>
      <c r="FE29" s="97" t="str">
        <f t="shared" si="32"/>
        <v/>
      </c>
      <c r="FF29" s="7"/>
      <c r="FG29" s="7"/>
      <c r="FH29" s="7"/>
      <c r="FI29" s="7"/>
      <c r="FJ29" s="7"/>
      <c r="FK29" s="7"/>
      <c r="FL29" s="7"/>
      <c r="FM29" s="7"/>
      <c r="FN29" s="7"/>
      <c r="FO29" s="7"/>
      <c r="FP29" s="95" t="s">
        <v>217</v>
      </c>
      <c r="FQ29" s="97" t="str">
        <f t="shared" si="132"/>
        <v/>
      </c>
      <c r="FR29" s="95" t="s">
        <v>217</v>
      </c>
      <c r="FS29" s="7"/>
      <c r="FT29" s="97" t="str">
        <f t="shared" si="133"/>
        <v/>
      </c>
      <c r="FU29" s="97" t="str">
        <f t="shared" si="134"/>
        <v/>
      </c>
      <c r="FV29" s="100"/>
      <c r="FW29" s="7"/>
      <c r="FX29" s="7"/>
      <c r="FY29" s="95" t="s">
        <v>217</v>
      </c>
      <c r="FZ29" s="7"/>
      <c r="GA29" s="7"/>
      <c r="GB29" s="7"/>
      <c r="GC29" s="95" t="s">
        <v>217</v>
      </c>
      <c r="GD29" s="7"/>
      <c r="GE29" s="7"/>
      <c r="GF29" s="7"/>
      <c r="GG29" s="7"/>
      <c r="GH29" s="7"/>
      <c r="GI29" s="7"/>
      <c r="GJ29" s="7"/>
      <c r="GK29" s="7"/>
      <c r="GL29" s="7"/>
      <c r="GM29" s="7"/>
      <c r="GN29" s="95">
        <v>1.0</v>
      </c>
      <c r="GO29" s="95" t="s">
        <v>536</v>
      </c>
      <c r="GP29" s="105">
        <v>257.0</v>
      </c>
      <c r="GQ29" s="141">
        <v>5.0</v>
      </c>
      <c r="GR29" s="95" t="s">
        <v>217</v>
      </c>
      <c r="GS29" s="7"/>
      <c r="GT29" s="7"/>
      <c r="GU29" s="61" t="str">
        <f t="shared" si="36"/>
        <v/>
      </c>
      <c r="GV29" s="61" t="str">
        <f t="shared" si="37"/>
        <v/>
      </c>
      <c r="GW29" s="61" t="str">
        <f t="shared" si="38"/>
        <v>x</v>
      </c>
      <c r="GX29" s="61" t="str">
        <f t="shared" si="39"/>
        <v/>
      </c>
      <c r="GY29" s="61" t="str">
        <f t="shared" si="40"/>
        <v/>
      </c>
      <c r="GZ29" s="61" t="str">
        <f t="shared" si="41"/>
        <v/>
      </c>
      <c r="HA29" s="61" t="str">
        <f t="shared" si="42"/>
        <v/>
      </c>
      <c r="HB29" s="61" t="str">
        <f t="shared" si="43"/>
        <v/>
      </c>
      <c r="HC29" s="61" t="str">
        <f t="shared" si="44"/>
        <v/>
      </c>
      <c r="HD29" s="61" t="str">
        <f t="shared" si="45"/>
        <v/>
      </c>
      <c r="HE29" s="61" t="str">
        <f t="shared" si="46"/>
        <v/>
      </c>
      <c r="HF29" s="61" t="str">
        <f t="shared" si="47"/>
        <v/>
      </c>
      <c r="HG29" s="61" t="str">
        <f t="shared" si="48"/>
        <v/>
      </c>
      <c r="HH29" s="61" t="str">
        <f t="shared" si="49"/>
        <v/>
      </c>
      <c r="HI29" s="61" t="str">
        <f t="shared" si="50"/>
        <v/>
      </c>
      <c r="HJ29" s="61" t="str">
        <f t="shared" si="51"/>
        <v/>
      </c>
      <c r="HK29" s="61" t="str">
        <f t="shared" si="52"/>
        <v/>
      </c>
      <c r="HL29" s="61" t="str">
        <f t="shared" si="53"/>
        <v/>
      </c>
      <c r="HM29" s="61" t="str">
        <f t="shared" si="54"/>
        <v/>
      </c>
      <c r="HN29" s="61" t="str">
        <f t="shared" si="55"/>
        <v/>
      </c>
      <c r="HO29" s="61" t="str">
        <f t="shared" si="56"/>
        <v/>
      </c>
      <c r="HP29" s="61" t="str">
        <f t="shared" si="57"/>
        <v/>
      </c>
      <c r="HQ29" s="61" t="str">
        <f t="shared" si="58"/>
        <v/>
      </c>
      <c r="HR29" s="61" t="str">
        <f t="shared" si="59"/>
        <v/>
      </c>
      <c r="HS29" s="61" t="str">
        <f t="shared" si="60"/>
        <v/>
      </c>
      <c r="HT29" s="61" t="str">
        <f t="shared" si="61"/>
        <v/>
      </c>
      <c r="HU29" s="61" t="str">
        <f t="shared" si="62"/>
        <v/>
      </c>
      <c r="HV29" s="61" t="str">
        <f t="shared" si="63"/>
        <v/>
      </c>
      <c r="HW29" s="61" t="str">
        <f t="shared" si="64"/>
        <v/>
      </c>
      <c r="HX29" s="61" t="str">
        <f t="shared" si="65"/>
        <v/>
      </c>
      <c r="HY29" s="61" t="str">
        <f t="shared" si="66"/>
        <v/>
      </c>
      <c r="HZ29" s="61" t="str">
        <f t="shared" si="67"/>
        <v/>
      </c>
    </row>
    <row r="30" ht="15.0" customHeight="1">
      <c r="A30" s="49" t="s">
        <v>537</v>
      </c>
      <c r="B30" s="80" t="s">
        <v>538</v>
      </c>
      <c r="C30" s="113" t="s">
        <v>539</v>
      </c>
      <c r="D30" s="80" t="s">
        <v>301</v>
      </c>
      <c r="E30" s="107">
        <f t="shared" si="3"/>
        <v>2</v>
      </c>
      <c r="F30" s="80" t="s">
        <v>210</v>
      </c>
      <c r="G30" s="80" t="s">
        <v>217</v>
      </c>
      <c r="H30" s="80">
        <v>2005.0</v>
      </c>
      <c r="J30" s="80" t="s">
        <v>540</v>
      </c>
      <c r="Q30" s="61" t="b">
        <f t="shared" si="105"/>
        <v>1</v>
      </c>
      <c r="R30" s="61" t="b">
        <f t="shared" ref="R30:R32" si="139">if(AVERAGE(S30:U30)&gt;=5, TRUE, FALSE)</f>
        <v>1</v>
      </c>
      <c r="S30" s="80">
        <v>7.0</v>
      </c>
      <c r="T30" s="80">
        <v>7.0</v>
      </c>
      <c r="U30" s="80">
        <v>8.0</v>
      </c>
      <c r="V30" s="61" t="b">
        <f t="shared" ref="V30:V32" si="140">if(AVERAGE(W30:Y30)&gt;=5, TRUE, FALSE)</f>
        <v>1</v>
      </c>
      <c r="W30" s="80">
        <v>6.0</v>
      </c>
      <c r="X30" s="80">
        <v>7.0</v>
      </c>
      <c r="Y30" s="80">
        <v>7.0</v>
      </c>
      <c r="Z30" s="115" t="s">
        <v>541</v>
      </c>
      <c r="AC30" s="127"/>
      <c r="AR30" s="73" t="s">
        <v>217</v>
      </c>
      <c r="AS30" s="74"/>
      <c r="AT30" s="74"/>
      <c r="AU30" s="74"/>
      <c r="AV30" s="74"/>
      <c r="AW30" s="74"/>
      <c r="AX30" s="74"/>
      <c r="AY30" s="74"/>
      <c r="AZ30" s="74"/>
      <c r="BA30" s="74"/>
      <c r="BB30" s="109" t="str">
        <f t="shared" si="106"/>
        <v>ERR</v>
      </c>
      <c r="BC30" s="74"/>
      <c r="BD30" s="74"/>
      <c r="BE30" s="74"/>
      <c r="BF30" s="73" t="s">
        <v>217</v>
      </c>
      <c r="BG30" s="74"/>
      <c r="BH30" s="74"/>
      <c r="BI30" s="74"/>
      <c r="BJ30" s="74"/>
      <c r="BK30" s="74"/>
      <c r="BL30" s="74"/>
      <c r="BM30" s="74"/>
      <c r="BN30" s="74"/>
      <c r="BO30" s="74"/>
      <c r="BP30" s="73" t="s">
        <v>217</v>
      </c>
      <c r="BQ30" s="74"/>
      <c r="BR30" s="74"/>
      <c r="BS30" s="74"/>
      <c r="BT30" s="74"/>
      <c r="BU30" s="74"/>
      <c r="BV30" s="73" t="s">
        <v>217</v>
      </c>
      <c r="BW30" s="74"/>
      <c r="BX30" s="74"/>
      <c r="BY30" s="73" t="s">
        <v>217</v>
      </c>
      <c r="BZ30" s="74"/>
      <c r="CA30" s="74"/>
      <c r="CB30" s="74"/>
      <c r="CC30" s="74"/>
      <c r="CD30" s="74"/>
      <c r="CE30" s="74"/>
      <c r="CF30" s="74"/>
      <c r="CG30" s="74"/>
      <c r="CH30" s="73" t="s">
        <v>217</v>
      </c>
      <c r="CI30" s="110" t="str">
        <f t="shared" ref="CI30:CI39" si="141">if(and(CG30="x",CH30="x"), "x", "")</f>
        <v/>
      </c>
      <c r="CJ30" s="74"/>
      <c r="CK30" s="73" t="s">
        <v>217</v>
      </c>
      <c r="CL30" s="74"/>
      <c r="CM30" s="74"/>
      <c r="CN30" s="73" t="s">
        <v>217</v>
      </c>
      <c r="CO30" s="74"/>
      <c r="CP30" s="74"/>
      <c r="CQ30" s="74"/>
      <c r="CR30" s="80" t="s">
        <v>217</v>
      </c>
      <c r="CY30" s="80" t="s">
        <v>217</v>
      </c>
      <c r="DG30" s="61">
        <f t="shared" si="108"/>
        <v>1</v>
      </c>
      <c r="DI30" s="80" t="s">
        <v>217</v>
      </c>
      <c r="DO30" s="80" t="s">
        <v>217</v>
      </c>
      <c r="DP30" s="61" t="str">
        <f t="shared" si="109"/>
        <v/>
      </c>
      <c r="DQ30" s="61" t="str">
        <f t="shared" si="110"/>
        <v/>
      </c>
      <c r="DR30" s="61" t="str">
        <f t="shared" si="111"/>
        <v>FA</v>
      </c>
      <c r="DT30" s="74"/>
      <c r="DU30" s="73" t="s">
        <v>466</v>
      </c>
      <c r="DV30" s="74"/>
      <c r="DW30" s="73" t="s">
        <v>217</v>
      </c>
      <c r="DX30" s="74"/>
      <c r="DY30" s="110">
        <f t="shared" si="29"/>
        <v>2</v>
      </c>
      <c r="DZ30" s="110" t="str">
        <f>if(AND(DU30&lt;&gt;"",DW30="x"), "x", "")</f>
        <v>x</v>
      </c>
      <c r="EA30" s="73" t="s">
        <v>217</v>
      </c>
      <c r="EB30" s="73" t="s">
        <v>217</v>
      </c>
      <c r="EC30" s="73" t="s">
        <v>542</v>
      </c>
      <c r="EE30" s="110">
        <f t="shared" si="30"/>
        <v>3</v>
      </c>
      <c r="EF30" s="110" t="str">
        <f t="shared" si="70"/>
        <v>x</v>
      </c>
      <c r="EG30" s="61" t="str">
        <f t="shared" si="31"/>
        <v/>
      </c>
      <c r="EI30" s="80" t="s">
        <v>543</v>
      </c>
      <c r="EJ30" s="74"/>
      <c r="EK30" s="74"/>
      <c r="EL30" s="74"/>
      <c r="EM30" s="74"/>
      <c r="EO30" s="80" t="s">
        <v>217</v>
      </c>
      <c r="EP30" s="80" t="s">
        <v>217</v>
      </c>
      <c r="ES30" s="80" t="s">
        <v>544</v>
      </c>
      <c r="ET30" s="73">
        <v>4.0</v>
      </c>
      <c r="EU30" s="74"/>
      <c r="EV30" s="74"/>
      <c r="EW30" s="74"/>
      <c r="EX30" s="74"/>
      <c r="EZ30" s="80" t="s">
        <v>545</v>
      </c>
      <c r="FA30" s="80" t="s">
        <v>546</v>
      </c>
      <c r="FD30" s="80" t="s">
        <v>325</v>
      </c>
      <c r="FE30" s="97">
        <f t="shared" si="32"/>
        <v>2</v>
      </c>
      <c r="FF30" s="80">
        <v>1.0</v>
      </c>
      <c r="FG30" s="80">
        <v>0.5</v>
      </c>
      <c r="FH30" s="80">
        <v>1.0</v>
      </c>
      <c r="FI30" s="61">
        <f>sum(FF30:FH30)</f>
        <v>2.5</v>
      </c>
      <c r="FJ30" s="80">
        <v>0.0</v>
      </c>
      <c r="FK30" s="80">
        <v>0.0</v>
      </c>
      <c r="FL30" s="80" t="s">
        <v>189</v>
      </c>
      <c r="FM30" s="61" t="str">
        <f t="shared" ref="FM30:FM32" si="142">if(GP30&lt;1000, "0", if(GP30&lt;10000, "0.5","1"))</f>
        <v>1</v>
      </c>
      <c r="FN30" s="61">
        <f>sum(FJ30:FM30)</f>
        <v>0</v>
      </c>
      <c r="FP30" s="80" t="s">
        <v>217</v>
      </c>
      <c r="FR30" s="80" t="s">
        <v>217</v>
      </c>
      <c r="FV30" s="74"/>
      <c r="FW30" s="80" t="s">
        <v>217</v>
      </c>
      <c r="GD30" s="80" t="s">
        <v>217</v>
      </c>
      <c r="GN30" s="80">
        <v>2.0</v>
      </c>
      <c r="GO30" s="80" t="s">
        <v>547</v>
      </c>
      <c r="GP30" s="80">
        <v>17091.0</v>
      </c>
      <c r="GQ30" s="80" t="s">
        <v>548</v>
      </c>
      <c r="GR30" s="80" t="s">
        <v>217</v>
      </c>
      <c r="GS30" s="80" t="s">
        <v>217</v>
      </c>
      <c r="GU30" s="61" t="str">
        <f t="shared" si="36"/>
        <v/>
      </c>
      <c r="GV30" s="61" t="str">
        <f t="shared" si="37"/>
        <v/>
      </c>
      <c r="GW30" s="61" t="str">
        <f t="shared" si="38"/>
        <v/>
      </c>
      <c r="GX30" s="61" t="str">
        <f t="shared" si="39"/>
        <v/>
      </c>
      <c r="GY30" s="61" t="str">
        <f t="shared" si="40"/>
        <v/>
      </c>
      <c r="GZ30" s="61" t="str">
        <f t="shared" si="41"/>
        <v/>
      </c>
      <c r="HA30" s="61" t="str">
        <f t="shared" si="42"/>
        <v/>
      </c>
      <c r="HB30" s="61" t="str">
        <f t="shared" si="43"/>
        <v/>
      </c>
      <c r="HC30" s="61" t="str">
        <f t="shared" si="44"/>
        <v/>
      </c>
      <c r="HD30" s="61" t="str">
        <f t="shared" si="45"/>
        <v/>
      </c>
      <c r="HE30" s="61" t="str">
        <f t="shared" si="46"/>
        <v/>
      </c>
      <c r="HF30" s="61" t="str">
        <f t="shared" si="47"/>
        <v/>
      </c>
      <c r="HG30" s="61" t="str">
        <f t="shared" si="48"/>
        <v/>
      </c>
      <c r="HH30" s="61" t="str">
        <f t="shared" si="49"/>
        <v/>
      </c>
      <c r="HI30" s="61" t="str">
        <f t="shared" si="50"/>
        <v/>
      </c>
      <c r="HJ30" s="61" t="str">
        <f t="shared" si="51"/>
        <v/>
      </c>
      <c r="HK30" s="61" t="str">
        <f t="shared" si="52"/>
        <v/>
      </c>
      <c r="HL30" s="61" t="str">
        <f t="shared" si="53"/>
        <v/>
      </c>
      <c r="HM30" s="61" t="str">
        <f t="shared" si="54"/>
        <v/>
      </c>
      <c r="HN30" s="61" t="str">
        <f t="shared" si="55"/>
        <v/>
      </c>
      <c r="HO30" s="61" t="str">
        <f t="shared" si="56"/>
        <v/>
      </c>
      <c r="HP30" s="61" t="str">
        <f t="shared" si="57"/>
        <v/>
      </c>
      <c r="HQ30" s="61" t="str">
        <f t="shared" si="58"/>
        <v/>
      </c>
      <c r="HR30" s="61" t="str">
        <f t="shared" si="59"/>
        <v/>
      </c>
      <c r="HS30" s="61" t="str">
        <f t="shared" si="60"/>
        <v/>
      </c>
      <c r="HT30" s="61" t="str">
        <f t="shared" si="61"/>
        <v/>
      </c>
      <c r="HU30" s="61" t="str">
        <f t="shared" si="62"/>
        <v/>
      </c>
      <c r="HV30" s="61" t="str">
        <f t="shared" si="63"/>
        <v/>
      </c>
      <c r="HW30" s="61" t="str">
        <f t="shared" si="64"/>
        <v/>
      </c>
      <c r="HX30" s="61" t="str">
        <f t="shared" si="65"/>
        <v/>
      </c>
      <c r="HY30" s="61" t="str">
        <f t="shared" si="66"/>
        <v/>
      </c>
      <c r="HZ30" s="61" t="str">
        <f t="shared" si="67"/>
        <v/>
      </c>
    </row>
    <row r="31" ht="15.0" customHeight="1">
      <c r="A31" s="49" t="s">
        <v>549</v>
      </c>
      <c r="B31" s="80" t="s">
        <v>550</v>
      </c>
      <c r="C31" s="113" t="s">
        <v>551</v>
      </c>
      <c r="D31" s="80" t="s">
        <v>301</v>
      </c>
      <c r="E31" s="107">
        <f t="shared" si="3"/>
        <v>2</v>
      </c>
      <c r="F31" s="80" t="s">
        <v>210</v>
      </c>
      <c r="G31" s="80" t="s">
        <v>217</v>
      </c>
      <c r="H31" s="80">
        <v>2012.0</v>
      </c>
      <c r="J31" s="80" t="s">
        <v>552</v>
      </c>
      <c r="Q31" s="61" t="b">
        <f t="shared" si="105"/>
        <v>1</v>
      </c>
      <c r="R31" s="61" t="b">
        <f t="shared" si="139"/>
        <v>1</v>
      </c>
      <c r="S31" s="80">
        <v>6.0</v>
      </c>
      <c r="T31" s="80">
        <v>7.0</v>
      </c>
      <c r="V31" s="61" t="b">
        <f t="shared" si="140"/>
        <v>1</v>
      </c>
      <c r="W31" s="80">
        <v>7.0</v>
      </c>
      <c r="X31" s="80">
        <v>7.0</v>
      </c>
      <c r="Z31" s="114" t="s">
        <v>553</v>
      </c>
      <c r="AC31" s="114" t="s">
        <v>554</v>
      </c>
      <c r="AD31" s="80" t="s">
        <v>555</v>
      </c>
      <c r="AE31" s="80" t="s">
        <v>217</v>
      </c>
      <c r="AG31" s="80" t="s">
        <v>267</v>
      </c>
      <c r="AI31" s="80" t="s">
        <v>250</v>
      </c>
      <c r="AR31" s="74"/>
      <c r="AS31" s="74"/>
      <c r="AT31" s="74"/>
      <c r="AU31" s="74"/>
      <c r="AV31" s="74"/>
      <c r="AW31" s="74"/>
      <c r="AX31" s="74"/>
      <c r="AY31" s="74"/>
      <c r="AZ31" s="73" t="s">
        <v>217</v>
      </c>
      <c r="BA31" s="74"/>
      <c r="BB31" s="109" t="str">
        <f t="shared" si="106"/>
        <v/>
      </c>
      <c r="BC31" s="74"/>
      <c r="BD31" s="74"/>
      <c r="BE31" s="74"/>
      <c r="BF31" s="73" t="s">
        <v>217</v>
      </c>
      <c r="BG31" s="74"/>
      <c r="BH31" s="74"/>
      <c r="BI31" s="74"/>
      <c r="BJ31" s="74"/>
      <c r="BK31" s="74"/>
      <c r="BL31" s="74"/>
      <c r="BM31" s="74"/>
      <c r="BN31" s="74"/>
      <c r="BO31" s="74"/>
      <c r="BP31" s="73" t="s">
        <v>217</v>
      </c>
      <c r="BQ31" s="74"/>
      <c r="BR31" s="74"/>
      <c r="BS31" s="74"/>
      <c r="BT31" s="74"/>
      <c r="BU31" s="74"/>
      <c r="BV31" s="73" t="s">
        <v>217</v>
      </c>
      <c r="BW31" s="74"/>
      <c r="BX31" s="74"/>
      <c r="BY31" s="74"/>
      <c r="BZ31" s="74"/>
      <c r="CA31" s="73" t="s">
        <v>217</v>
      </c>
      <c r="CB31" s="73" t="s">
        <v>217</v>
      </c>
      <c r="CC31" s="74"/>
      <c r="CD31" s="74"/>
      <c r="CE31" s="74"/>
      <c r="CF31" s="74"/>
      <c r="CG31" s="73" t="s">
        <v>217</v>
      </c>
      <c r="CH31" s="73" t="s">
        <v>217</v>
      </c>
      <c r="CI31" s="110" t="str">
        <f t="shared" si="141"/>
        <v>x</v>
      </c>
      <c r="CJ31" s="74"/>
      <c r="CK31" s="74"/>
      <c r="CL31" s="74"/>
      <c r="CM31" s="73" t="s">
        <v>217</v>
      </c>
      <c r="CN31" s="73" t="s">
        <v>217</v>
      </c>
      <c r="CO31" s="74"/>
      <c r="CP31" s="74"/>
      <c r="CQ31" s="74"/>
      <c r="CX31" s="80" t="s">
        <v>217</v>
      </c>
      <c r="CY31" s="80" t="s">
        <v>217</v>
      </c>
      <c r="CZ31" s="80" t="s">
        <v>217</v>
      </c>
      <c r="DG31" s="61">
        <f t="shared" si="108"/>
        <v>3</v>
      </c>
      <c r="DL31" s="80" t="s">
        <v>217</v>
      </c>
      <c r="DO31" s="80" t="s">
        <v>217</v>
      </c>
      <c r="DP31" s="61" t="str">
        <f t="shared" si="109"/>
        <v/>
      </c>
      <c r="DQ31" s="61" t="str">
        <f t="shared" si="110"/>
        <v/>
      </c>
      <c r="DR31" s="61" t="str">
        <f t="shared" si="111"/>
        <v>FA</v>
      </c>
      <c r="DS31" s="74"/>
      <c r="DT31" s="74"/>
      <c r="DU31" s="74"/>
      <c r="DV31" s="74"/>
      <c r="DW31" s="74"/>
      <c r="DX31" s="74"/>
      <c r="DY31" s="110">
        <f t="shared" si="29"/>
        <v>0</v>
      </c>
      <c r="DZ31" s="110" t="str">
        <f t="shared" ref="DZ31:DZ32" si="143">if(AND(DS31&lt;&gt;"",DW31="x"), "x", "")</f>
        <v/>
      </c>
      <c r="EA31" s="74"/>
      <c r="EB31" s="74"/>
      <c r="EC31" s="74"/>
      <c r="ED31" s="74"/>
      <c r="EE31" s="110">
        <f t="shared" si="30"/>
        <v>0</v>
      </c>
      <c r="EF31" s="110" t="str">
        <f t="shared" si="70"/>
        <v/>
      </c>
      <c r="EG31" s="61" t="str">
        <f t="shared" si="31"/>
        <v/>
      </c>
      <c r="EI31" s="80" t="s">
        <v>556</v>
      </c>
      <c r="EJ31" s="74"/>
      <c r="EK31" s="74"/>
      <c r="EL31" s="74"/>
      <c r="EM31" s="74"/>
      <c r="EO31" s="80" t="s">
        <v>217</v>
      </c>
      <c r="ES31" s="80" t="s">
        <v>557</v>
      </c>
      <c r="ET31" s="73">
        <v>2.0</v>
      </c>
      <c r="EU31" s="74"/>
      <c r="EV31" s="74"/>
      <c r="EW31" s="74"/>
      <c r="EX31" s="74"/>
      <c r="EZ31" s="80" t="s">
        <v>558</v>
      </c>
      <c r="FA31" s="80" t="s">
        <v>559</v>
      </c>
      <c r="FB31" s="80" t="s">
        <v>560</v>
      </c>
      <c r="FC31" s="80" t="s">
        <v>561</v>
      </c>
      <c r="FD31" s="80" t="s">
        <v>256</v>
      </c>
      <c r="FE31" s="97">
        <f t="shared" si="32"/>
        <v>4</v>
      </c>
      <c r="FF31" s="80">
        <v>1.0</v>
      </c>
      <c r="FG31" s="80">
        <v>1.0</v>
      </c>
      <c r="FH31" s="80">
        <v>1.0</v>
      </c>
      <c r="FI31" s="61">
        <f>sum(FF32:FH32)</f>
        <v>2</v>
      </c>
      <c r="FJ31" s="80">
        <v>0.0</v>
      </c>
      <c r="FK31" s="80">
        <v>0.0</v>
      </c>
      <c r="FL31" s="80" t="s">
        <v>189</v>
      </c>
      <c r="FM31" s="61" t="str">
        <f t="shared" si="142"/>
        <v>1</v>
      </c>
      <c r="FN31" s="61">
        <f>sum(FJ31:FM32)</f>
        <v>0</v>
      </c>
      <c r="FP31" s="80" t="s">
        <v>217</v>
      </c>
      <c r="FR31" s="80" t="s">
        <v>217</v>
      </c>
      <c r="FV31" s="74"/>
      <c r="FW31" s="80" t="s">
        <v>217</v>
      </c>
      <c r="FY31" s="80" t="s">
        <v>217</v>
      </c>
      <c r="GC31" s="80" t="s">
        <v>217</v>
      </c>
      <c r="GN31" s="80">
        <v>4.0</v>
      </c>
      <c r="GO31" s="80" t="s">
        <v>562</v>
      </c>
      <c r="GP31" s="80">
        <v>24007.0</v>
      </c>
      <c r="GQ31" s="80" t="s">
        <v>563</v>
      </c>
      <c r="GS31" s="80" t="s">
        <v>217</v>
      </c>
      <c r="GU31" s="61" t="str">
        <f t="shared" si="36"/>
        <v/>
      </c>
      <c r="GV31" s="61" t="str">
        <f t="shared" si="37"/>
        <v/>
      </c>
      <c r="GW31" s="61" t="str">
        <f t="shared" si="38"/>
        <v>x</v>
      </c>
      <c r="GX31" s="61" t="str">
        <f t="shared" si="39"/>
        <v>x</v>
      </c>
      <c r="GY31" s="61" t="str">
        <f t="shared" si="40"/>
        <v>x</v>
      </c>
      <c r="GZ31" s="61" t="str">
        <f t="shared" si="41"/>
        <v/>
      </c>
      <c r="HA31" s="61" t="str">
        <f t="shared" si="42"/>
        <v/>
      </c>
      <c r="HB31" s="61" t="str">
        <f t="shared" si="43"/>
        <v/>
      </c>
      <c r="HC31" s="61" t="str">
        <f t="shared" si="44"/>
        <v/>
      </c>
      <c r="HD31" s="61" t="str">
        <f t="shared" si="45"/>
        <v/>
      </c>
      <c r="HE31" s="61" t="str">
        <f t="shared" si="46"/>
        <v/>
      </c>
      <c r="HF31" s="61" t="str">
        <f t="shared" si="47"/>
        <v/>
      </c>
      <c r="HG31" s="61" t="str">
        <f t="shared" si="48"/>
        <v/>
      </c>
      <c r="HH31" s="61" t="str">
        <f t="shared" si="49"/>
        <v/>
      </c>
      <c r="HI31" s="61" t="str">
        <f t="shared" si="50"/>
        <v/>
      </c>
      <c r="HJ31" s="61" t="str">
        <f t="shared" si="51"/>
        <v/>
      </c>
      <c r="HK31" s="61" t="str">
        <f t="shared" si="52"/>
        <v/>
      </c>
      <c r="HL31" s="61" t="str">
        <f t="shared" si="53"/>
        <v/>
      </c>
      <c r="HM31" s="61" t="str">
        <f t="shared" si="54"/>
        <v/>
      </c>
      <c r="HN31" s="61" t="str">
        <f t="shared" si="55"/>
        <v/>
      </c>
      <c r="HO31" s="61" t="str">
        <f t="shared" si="56"/>
        <v/>
      </c>
      <c r="HP31" s="61" t="str">
        <f t="shared" si="57"/>
        <v/>
      </c>
      <c r="HQ31" s="61" t="str">
        <f t="shared" si="58"/>
        <v/>
      </c>
      <c r="HR31" s="61" t="str">
        <f t="shared" si="59"/>
        <v/>
      </c>
      <c r="HS31" s="61" t="str">
        <f t="shared" si="60"/>
        <v/>
      </c>
      <c r="HT31" s="61" t="str">
        <f t="shared" si="61"/>
        <v/>
      </c>
      <c r="HU31" s="61" t="str">
        <f t="shared" si="62"/>
        <v/>
      </c>
      <c r="HV31" s="61" t="str">
        <f t="shared" si="63"/>
        <v/>
      </c>
      <c r="HW31" s="61" t="str">
        <f t="shared" si="64"/>
        <v/>
      </c>
      <c r="HX31" s="61" t="str">
        <f t="shared" si="65"/>
        <v/>
      </c>
      <c r="HY31" s="61" t="str">
        <f t="shared" si="66"/>
        <v/>
      </c>
      <c r="HZ31" s="61" t="str">
        <f t="shared" si="67"/>
        <v/>
      </c>
    </row>
    <row r="32" ht="15.0" customHeight="1">
      <c r="A32" s="49" t="s">
        <v>564</v>
      </c>
      <c r="B32" s="87" t="s">
        <v>565</v>
      </c>
      <c r="C32" s="113" t="s">
        <v>566</v>
      </c>
      <c r="D32" s="80" t="s">
        <v>301</v>
      </c>
      <c r="E32" s="107">
        <f t="shared" si="3"/>
        <v>2</v>
      </c>
      <c r="F32" s="80" t="s">
        <v>210</v>
      </c>
      <c r="G32" s="80" t="s">
        <v>217</v>
      </c>
      <c r="H32" s="80">
        <v>2012.0</v>
      </c>
      <c r="J32" s="80" t="s">
        <v>567</v>
      </c>
      <c r="Q32" s="61" t="b">
        <f t="shared" si="105"/>
        <v>1</v>
      </c>
      <c r="R32" s="61" t="b">
        <f t="shared" si="139"/>
        <v>1</v>
      </c>
      <c r="S32" s="80">
        <v>7.0</v>
      </c>
      <c r="T32" s="80">
        <v>7.0</v>
      </c>
      <c r="U32" s="80">
        <v>3.0</v>
      </c>
      <c r="V32" s="61" t="b">
        <f t="shared" si="140"/>
        <v>1</v>
      </c>
      <c r="W32" s="80">
        <v>7.0</v>
      </c>
      <c r="X32" s="80">
        <v>7.0</v>
      </c>
      <c r="Y32" s="80">
        <v>7.0</v>
      </c>
      <c r="Z32" s="80" t="s">
        <v>568</v>
      </c>
      <c r="AC32" s="114" t="s">
        <v>569</v>
      </c>
      <c r="AD32" s="80" t="s">
        <v>266</v>
      </c>
      <c r="AG32" s="80" t="s">
        <v>267</v>
      </c>
      <c r="AI32" s="80" t="s">
        <v>250</v>
      </c>
      <c r="AR32" s="74"/>
      <c r="AS32" s="74"/>
      <c r="AT32" s="74"/>
      <c r="AU32" s="74"/>
      <c r="AV32" s="74"/>
      <c r="AW32" s="73" t="s">
        <v>217</v>
      </c>
      <c r="AX32" s="74"/>
      <c r="AY32" s="74"/>
      <c r="AZ32" s="74"/>
      <c r="BA32" s="74"/>
      <c r="BB32" s="109" t="str">
        <f t="shared" si="106"/>
        <v/>
      </c>
      <c r="BC32" s="73" t="s">
        <v>217</v>
      </c>
      <c r="BD32" s="73" t="s">
        <v>217</v>
      </c>
      <c r="BE32" s="73" t="s">
        <v>217</v>
      </c>
      <c r="BF32" s="73" t="s">
        <v>217</v>
      </c>
      <c r="BG32" s="74"/>
      <c r="BH32" s="74"/>
      <c r="BI32" s="74"/>
      <c r="BJ32" s="73" t="s">
        <v>217</v>
      </c>
      <c r="BK32" s="74"/>
      <c r="BL32" s="74"/>
      <c r="BM32" s="74"/>
      <c r="BN32" s="73" t="s">
        <v>218</v>
      </c>
      <c r="BO32" s="74"/>
      <c r="BP32" s="73" t="s">
        <v>217</v>
      </c>
      <c r="BQ32" s="74"/>
      <c r="BR32" s="74"/>
      <c r="BS32" s="74"/>
      <c r="BT32" s="74"/>
      <c r="BU32" s="74"/>
      <c r="BV32" s="73" t="s">
        <v>217</v>
      </c>
      <c r="BW32" s="74"/>
      <c r="BX32" s="73" t="s">
        <v>217</v>
      </c>
      <c r="BY32" s="74"/>
      <c r="BZ32" s="74"/>
      <c r="CA32" s="73" t="s">
        <v>217</v>
      </c>
      <c r="CB32" s="74"/>
      <c r="CC32" s="74"/>
      <c r="CD32" s="74"/>
      <c r="CE32" s="73" t="s">
        <v>217</v>
      </c>
      <c r="CF32" s="73" t="s">
        <v>570</v>
      </c>
      <c r="CG32" s="73" t="s">
        <v>217</v>
      </c>
      <c r="CH32" s="74"/>
      <c r="CI32" s="110" t="str">
        <f t="shared" si="141"/>
        <v/>
      </c>
      <c r="CJ32" s="74"/>
      <c r="CK32" s="74"/>
      <c r="CL32" s="74"/>
      <c r="CM32" s="73" t="s">
        <v>217</v>
      </c>
      <c r="CN32" s="74"/>
      <c r="CO32" s="74"/>
      <c r="CP32" s="74"/>
      <c r="CQ32" s="74"/>
      <c r="CS32" s="80" t="s">
        <v>217</v>
      </c>
      <c r="CZ32" s="80" t="s">
        <v>217</v>
      </c>
      <c r="DF32" s="80" t="s">
        <v>217</v>
      </c>
      <c r="DG32" s="61">
        <f t="shared" si="108"/>
        <v>2</v>
      </c>
      <c r="DN32" s="80" t="s">
        <v>217</v>
      </c>
      <c r="DO32" s="80" t="s">
        <v>217</v>
      </c>
      <c r="DP32" s="61" t="str">
        <f t="shared" si="109"/>
        <v>both</v>
      </c>
      <c r="DQ32" s="61" t="str">
        <f t="shared" si="110"/>
        <v/>
      </c>
      <c r="DR32" s="61" t="str">
        <f t="shared" si="111"/>
        <v/>
      </c>
      <c r="DS32" s="74"/>
      <c r="DT32" s="74"/>
      <c r="DU32" s="74"/>
      <c r="DV32" s="73" t="s">
        <v>217</v>
      </c>
      <c r="DW32" s="74"/>
      <c r="DX32" s="73" t="s">
        <v>571</v>
      </c>
      <c r="DY32" s="110">
        <f t="shared" si="29"/>
        <v>2</v>
      </c>
      <c r="DZ32" s="110" t="str">
        <f t="shared" si="143"/>
        <v/>
      </c>
      <c r="EA32" s="74"/>
      <c r="EB32" s="74"/>
      <c r="EC32" s="74"/>
      <c r="ED32" s="74"/>
      <c r="EE32" s="110">
        <f t="shared" si="30"/>
        <v>0</v>
      </c>
      <c r="EF32" s="110" t="str">
        <f t="shared" si="70"/>
        <v/>
      </c>
      <c r="EG32" s="61" t="str">
        <f t="shared" si="31"/>
        <v/>
      </c>
      <c r="EI32" s="80" t="s">
        <v>572</v>
      </c>
      <c r="EJ32" s="74"/>
      <c r="EK32" s="74"/>
      <c r="EL32" s="74"/>
      <c r="EM32" s="73" t="s">
        <v>217</v>
      </c>
      <c r="ES32" s="80" t="s">
        <v>573</v>
      </c>
      <c r="ET32" s="73">
        <v>2.0</v>
      </c>
      <c r="EU32" s="74"/>
      <c r="EV32" s="74"/>
      <c r="EW32" s="74"/>
      <c r="EX32" s="74"/>
      <c r="EZ32" s="80" t="s">
        <v>574</v>
      </c>
      <c r="FE32" s="97">
        <f t="shared" si="32"/>
        <v>0</v>
      </c>
      <c r="FF32" s="80">
        <v>1.0</v>
      </c>
      <c r="FG32" s="80">
        <v>1.0</v>
      </c>
      <c r="FH32" s="80">
        <v>0.0</v>
      </c>
      <c r="FI32" s="61">
        <f>sum(FF32:FH32)</f>
        <v>2</v>
      </c>
      <c r="FJ32" s="80">
        <v>0.0</v>
      </c>
      <c r="FK32" s="80">
        <v>0.0</v>
      </c>
      <c r="FL32" s="80" t="s">
        <v>189</v>
      </c>
      <c r="FM32" s="61" t="str">
        <f t="shared" si="142"/>
        <v>0</v>
      </c>
      <c r="FN32" s="61">
        <f>sum(FJ32:FM32)</f>
        <v>0</v>
      </c>
      <c r="FV32" s="74"/>
      <c r="FX32" s="80" t="s">
        <v>217</v>
      </c>
      <c r="FY32" s="80" t="s">
        <v>217</v>
      </c>
      <c r="GI32" s="80" t="s">
        <v>217</v>
      </c>
      <c r="GL32" s="80" t="s">
        <v>575</v>
      </c>
      <c r="GN32" s="80">
        <v>7.0</v>
      </c>
      <c r="GO32" s="80" t="s">
        <v>576</v>
      </c>
      <c r="GQ32" s="80" t="s">
        <v>577</v>
      </c>
      <c r="GR32" s="80" t="s">
        <v>217</v>
      </c>
      <c r="GS32" s="80" t="s">
        <v>217</v>
      </c>
      <c r="GT32" s="80" t="s">
        <v>217</v>
      </c>
      <c r="GU32" s="61" t="str">
        <f t="shared" si="36"/>
        <v/>
      </c>
      <c r="GV32" s="61" t="str">
        <f t="shared" si="37"/>
        <v/>
      </c>
      <c r="GW32" s="61" t="str">
        <f t="shared" si="38"/>
        <v/>
      </c>
      <c r="GX32" s="61" t="str">
        <f t="shared" si="39"/>
        <v/>
      </c>
      <c r="GY32" s="61" t="str">
        <f t="shared" si="40"/>
        <v>x</v>
      </c>
      <c r="GZ32" s="61" t="str">
        <f t="shared" si="41"/>
        <v/>
      </c>
      <c r="HA32" s="61" t="str">
        <f t="shared" si="42"/>
        <v/>
      </c>
      <c r="HB32" s="61" t="str">
        <f t="shared" si="43"/>
        <v/>
      </c>
      <c r="HC32" s="61" t="str">
        <f t="shared" si="44"/>
        <v/>
      </c>
      <c r="HD32" s="61" t="str">
        <f t="shared" si="45"/>
        <v/>
      </c>
      <c r="HE32" s="61" t="str">
        <f t="shared" si="46"/>
        <v>x</v>
      </c>
      <c r="HF32" s="61" t="str">
        <f t="shared" si="47"/>
        <v/>
      </c>
      <c r="HG32" s="61" t="str">
        <f t="shared" si="48"/>
        <v/>
      </c>
      <c r="HH32" s="61" t="str">
        <f t="shared" si="49"/>
        <v/>
      </c>
      <c r="HI32" s="61" t="str">
        <f t="shared" si="50"/>
        <v/>
      </c>
      <c r="HJ32" s="61" t="str">
        <f t="shared" si="51"/>
        <v/>
      </c>
      <c r="HK32" s="61" t="str">
        <f t="shared" si="52"/>
        <v/>
      </c>
      <c r="HL32" s="61" t="str">
        <f t="shared" si="53"/>
        <v/>
      </c>
      <c r="HM32" s="61" t="str">
        <f t="shared" si="54"/>
        <v/>
      </c>
      <c r="HN32" s="61" t="str">
        <f t="shared" si="55"/>
        <v/>
      </c>
      <c r="HO32" s="61" t="str">
        <f t="shared" si="56"/>
        <v/>
      </c>
      <c r="HP32" s="61" t="str">
        <f t="shared" si="57"/>
        <v/>
      </c>
      <c r="HQ32" s="61" t="str">
        <f t="shared" si="58"/>
        <v/>
      </c>
      <c r="HR32" s="61" t="str">
        <f t="shared" si="59"/>
        <v/>
      </c>
      <c r="HS32" s="61" t="str">
        <f t="shared" si="60"/>
        <v/>
      </c>
      <c r="HT32" s="61" t="str">
        <f t="shared" si="61"/>
        <v/>
      </c>
      <c r="HU32" s="61" t="str">
        <f t="shared" si="62"/>
        <v/>
      </c>
      <c r="HV32" s="61" t="str">
        <f t="shared" si="63"/>
        <v/>
      </c>
      <c r="HW32" s="61" t="str">
        <f t="shared" si="64"/>
        <v/>
      </c>
      <c r="HX32" s="61" t="str">
        <f t="shared" si="65"/>
        <v/>
      </c>
      <c r="HY32" s="61" t="str">
        <f t="shared" si="66"/>
        <v/>
      </c>
      <c r="HZ32" s="61" t="str">
        <f t="shared" si="67"/>
        <v/>
      </c>
    </row>
    <row r="33" ht="1.5" customHeight="1">
      <c r="A33" s="49" t="s">
        <v>578</v>
      </c>
      <c r="B33" s="95" t="s">
        <v>579</v>
      </c>
      <c r="C33" s="117" t="s">
        <v>580</v>
      </c>
      <c r="D33" s="95" t="s">
        <v>210</v>
      </c>
      <c r="E33" s="96" t="str">
        <f t="shared" si="3"/>
        <v/>
      </c>
      <c r="F33" s="95" t="s">
        <v>209</v>
      </c>
      <c r="G33" s="95" t="s">
        <v>211</v>
      </c>
      <c r="H33" s="95">
        <v>2006.0</v>
      </c>
      <c r="I33" s="7"/>
      <c r="J33" s="95" t="s">
        <v>581</v>
      </c>
      <c r="K33" s="97" t="str">
        <f t="shared" ref="K33:K36" si="144">if(AND(D33="Aysu", F33="Vahid"), 1, "")</f>
        <v/>
      </c>
      <c r="L33" s="97" t="str">
        <f t="shared" ref="L33:L36" si="145">if(AND(D33="Aysu", F33="Ali"), 1, "")</f>
        <v/>
      </c>
      <c r="M33" s="97">
        <f t="shared" ref="M33:M36" si="146">if(AND(D33="Vahid", F33="Aysu"), 1, "")</f>
        <v>1</v>
      </c>
      <c r="N33" s="97" t="str">
        <f t="shared" ref="N33:N36" si="147">if(AND(D33="Vahid", F33="Ali"), 1, "")</f>
        <v/>
      </c>
      <c r="O33" s="97" t="str">
        <f t="shared" ref="O33:O36" si="148">if(AND(D33="Ali", F33="Vahid"), 1, "")</f>
        <v/>
      </c>
      <c r="P33" s="97" t="str">
        <f t="shared" ref="P33:P36" si="149">if(AND(D33="Ali", F33="Aysu"), 1, "")</f>
        <v/>
      </c>
      <c r="Q33" s="97" t="b">
        <f t="shared" si="105"/>
        <v>1</v>
      </c>
      <c r="R33" s="97" t="b">
        <f t="shared" ref="R33:R36" si="150">SUM(S33:U33)&gt;=2</f>
        <v>1</v>
      </c>
      <c r="S33" s="95">
        <v>1.0</v>
      </c>
      <c r="T33" s="95">
        <v>1.0</v>
      </c>
      <c r="U33" s="95">
        <v>1.0</v>
      </c>
      <c r="V33" s="97" t="b">
        <f t="shared" ref="V33:V36" si="151">SUM(W33:Y33)&gt;=2</f>
        <v>1</v>
      </c>
      <c r="W33" s="95">
        <v>0.0</v>
      </c>
      <c r="X33" s="95">
        <v>1.0</v>
      </c>
      <c r="Y33" s="95">
        <v>1.0</v>
      </c>
      <c r="Z33" s="7"/>
      <c r="AA33" s="97" t="str">
        <f t="shared" ref="AA33:AA36" si="152">iferror(if(find("Pollock", AC33)&gt;0,concat(J33,", "), ""))</f>
        <v/>
      </c>
      <c r="AB33" s="97" t="str">
        <f t="shared" ref="AB33:AB36" si="153">if(GI33="x",concat(J33,", "), "")</f>
        <v/>
      </c>
      <c r="AC33" s="98" t="s">
        <v>582</v>
      </c>
      <c r="AD33" s="95" t="s">
        <v>583</v>
      </c>
      <c r="AE33" s="7"/>
      <c r="AF33" s="97">
        <f>countif('Charts-SLR'!A:A,AD33)</f>
        <v>1</v>
      </c>
      <c r="AG33" s="95" t="s">
        <v>312</v>
      </c>
      <c r="AH33" s="97">
        <f t="shared" ref="AH33:AH36" si="154">countif({},AG33)</f>
        <v>0</v>
      </c>
      <c r="AI33" s="95" t="s">
        <v>231</v>
      </c>
      <c r="AJ33" s="95">
        <v>7.0</v>
      </c>
      <c r="AK33" s="99">
        <f t="shared" ref="AK33:AK36" si="155">AJ33/(2012-H33)</f>
        <v>1.166666667</v>
      </c>
      <c r="AL33" s="97">
        <f t="shared" ref="AL33:AL36" si="156">if(AI33="J",AJ33,"")</f>
        <v>7</v>
      </c>
      <c r="AM33" s="97" t="str">
        <f t="shared" ref="AM33:AM36" si="157">if(AI33="C",AJ33,"")</f>
        <v/>
      </c>
      <c r="AN33" s="97" t="str">
        <f t="shared" ref="AN33:AN36" si="158">if(AI33="W", AJ33,"")</f>
        <v/>
      </c>
      <c r="AO33" s="97" t="str">
        <f t="shared" ref="AO33:AO36" si="159">if(AI33="M",AJ33,"")</f>
        <v/>
      </c>
      <c r="AP33" s="97" t="str">
        <f t="shared" ref="AP33:AP36" si="160">if(AI33="S",AJ33,"")</f>
        <v/>
      </c>
      <c r="AQ33" s="97" t="str">
        <f t="shared" ref="AQ33:AQ36" si="161">if(BH33="x",concat(J33,", "), "")</f>
        <v/>
      </c>
      <c r="AR33" s="100"/>
      <c r="AS33" s="100"/>
      <c r="AT33" s="100"/>
      <c r="AU33" s="100"/>
      <c r="AV33" s="100"/>
      <c r="AW33" s="100"/>
      <c r="AX33" s="100"/>
      <c r="AY33" s="100"/>
      <c r="AZ33" s="100"/>
      <c r="BA33" s="100"/>
      <c r="BB33" s="101" t="str">
        <f t="shared" si="106"/>
        <v>ERR</v>
      </c>
      <c r="BC33" s="102" t="s">
        <v>217</v>
      </c>
      <c r="BD33" s="100"/>
      <c r="BE33" s="102" t="s">
        <v>217</v>
      </c>
      <c r="BF33" s="100"/>
      <c r="BG33" s="100"/>
      <c r="BH33" s="100"/>
      <c r="BI33" s="103">
        <f t="shared" ref="BI33:BI36" si="162">COUNTA(BC33:BH33)</f>
        <v>2</v>
      </c>
      <c r="BJ33" s="100"/>
      <c r="BK33" s="102" t="s">
        <v>217</v>
      </c>
      <c r="BL33" s="100"/>
      <c r="BM33" s="100"/>
      <c r="BN33" s="102" t="s">
        <v>584</v>
      </c>
      <c r="BO33" s="102" t="s">
        <v>217</v>
      </c>
      <c r="BP33" s="100"/>
      <c r="BQ33" s="100"/>
      <c r="BR33" s="100"/>
      <c r="BS33" s="100"/>
      <c r="BT33" s="100"/>
      <c r="BU33" s="74"/>
      <c r="BV33" s="102" t="s">
        <v>217</v>
      </c>
      <c r="BW33" s="100"/>
      <c r="BX33" s="100"/>
      <c r="BY33" s="102" t="s">
        <v>217</v>
      </c>
      <c r="BZ33" s="100"/>
      <c r="CA33" s="100"/>
      <c r="CB33" s="100"/>
      <c r="CC33" s="100"/>
      <c r="CD33" s="100"/>
      <c r="CE33" s="100"/>
      <c r="CF33" s="100"/>
      <c r="CG33" s="100"/>
      <c r="CH33" s="102" t="s">
        <v>217</v>
      </c>
      <c r="CI33" s="103" t="str">
        <f t="shared" si="141"/>
        <v/>
      </c>
      <c r="CJ33" s="103">
        <f t="shared" ref="CJ33:CJ36" si="163">if(CG33="x", 1, if(CH33="x", 2, 3))</f>
        <v>2</v>
      </c>
      <c r="CK33" s="102" t="s">
        <v>217</v>
      </c>
      <c r="CL33" s="102" t="s">
        <v>217</v>
      </c>
      <c r="CM33" s="100"/>
      <c r="CN33" s="102" t="s">
        <v>217</v>
      </c>
      <c r="CO33" s="100"/>
      <c r="CP33" s="100"/>
      <c r="CQ33" s="100"/>
      <c r="CR33" s="7"/>
      <c r="CS33" s="7"/>
      <c r="CT33" s="7"/>
      <c r="CU33" s="7"/>
      <c r="CV33" s="7"/>
      <c r="CW33" s="7"/>
      <c r="CX33" s="95" t="s">
        <v>217</v>
      </c>
      <c r="CY33" s="7"/>
      <c r="CZ33" s="7"/>
      <c r="DA33" s="7"/>
      <c r="DB33" s="7"/>
      <c r="DC33" s="7"/>
      <c r="DD33" s="7"/>
      <c r="DE33" s="7"/>
      <c r="DF33" s="7"/>
      <c r="DG33" s="97">
        <f t="shared" si="108"/>
        <v>1</v>
      </c>
      <c r="DH33" s="7"/>
      <c r="DI33" s="95" t="s">
        <v>217</v>
      </c>
      <c r="DJ33" s="7"/>
      <c r="DK33" s="7"/>
      <c r="DL33" s="7"/>
      <c r="DM33" s="97">
        <f t="shared" ref="DM33:DM36" si="164">counta(DH33:DL33)</f>
        <v>1</v>
      </c>
      <c r="DN33" s="95" t="s">
        <v>217</v>
      </c>
      <c r="DO33" s="7"/>
      <c r="DP33" s="97" t="str">
        <f t="shared" si="109"/>
        <v/>
      </c>
      <c r="DQ33" s="97" t="str">
        <f t="shared" si="110"/>
        <v>FM</v>
      </c>
      <c r="DR33" s="97" t="str">
        <f t="shared" si="111"/>
        <v/>
      </c>
      <c r="DS33" s="100"/>
      <c r="DT33" s="100"/>
      <c r="DU33" s="100"/>
      <c r="DV33" s="100"/>
      <c r="DW33" s="100"/>
      <c r="DX33" s="100"/>
      <c r="DY33" s="103">
        <f t="shared" si="29"/>
        <v>0</v>
      </c>
      <c r="DZ33" s="100"/>
      <c r="EA33" s="100"/>
      <c r="EB33" s="100"/>
      <c r="EC33" s="100"/>
      <c r="ED33" s="100"/>
      <c r="EE33" s="103">
        <f t="shared" si="30"/>
        <v>0</v>
      </c>
      <c r="EF33" s="103" t="str">
        <f t="shared" si="70"/>
        <v/>
      </c>
      <c r="EG33" s="97" t="str">
        <f t="shared" si="31"/>
        <v/>
      </c>
      <c r="EH33" s="7"/>
      <c r="EI33" s="7"/>
      <c r="EJ33" s="100"/>
      <c r="EK33" s="100"/>
      <c r="EL33" s="100"/>
      <c r="EM33" s="100"/>
      <c r="EN33" s="7"/>
      <c r="EO33" s="7"/>
      <c r="EP33" s="7"/>
      <c r="EQ33" s="95" t="s">
        <v>217</v>
      </c>
      <c r="ER33" s="7"/>
      <c r="ES33" s="7"/>
      <c r="ET33" s="100"/>
      <c r="EU33" s="100"/>
      <c r="EV33" s="100"/>
      <c r="EW33" s="100"/>
      <c r="EX33" s="100"/>
      <c r="EY33" s="7"/>
      <c r="EZ33" s="7"/>
      <c r="FA33" s="7"/>
      <c r="FB33" s="7"/>
      <c r="FC33" s="7"/>
      <c r="FD33" s="7"/>
      <c r="FE33" s="97" t="str">
        <f t="shared" si="32"/>
        <v/>
      </c>
      <c r="FF33" s="7"/>
      <c r="FG33" s="7"/>
      <c r="FH33" s="7"/>
      <c r="FI33" s="7"/>
      <c r="FJ33" s="7"/>
      <c r="FK33" s="7"/>
      <c r="FL33" s="7"/>
      <c r="FM33" s="7"/>
      <c r="FN33" s="7"/>
      <c r="FO33" s="7"/>
      <c r="FP33" s="95" t="s">
        <v>217</v>
      </c>
      <c r="FQ33" s="97" t="str">
        <f t="shared" ref="FQ33:FQ36" si="165">if(and(FO33="",FP33=""), "both", "")</f>
        <v/>
      </c>
      <c r="FR33" s="95" t="s">
        <v>217</v>
      </c>
      <c r="FS33" s="7"/>
      <c r="FT33" s="97" t="str">
        <f t="shared" ref="FT33:FT36" si="166">if(and(FS33="x",FR33="x"), "both", "")</f>
        <v/>
      </c>
      <c r="FU33" s="97" t="str">
        <f t="shared" ref="FU33:FU36" si="167">if(and(FR33="",FS33=""), "none", "")</f>
        <v/>
      </c>
      <c r="FV33" s="100"/>
      <c r="FW33" s="95" t="s">
        <v>217</v>
      </c>
      <c r="FX33" s="7"/>
      <c r="FY33" s="7"/>
      <c r="FZ33" s="7"/>
      <c r="GA33" s="7"/>
      <c r="GB33" s="7"/>
      <c r="GC33" s="7"/>
      <c r="GD33" s="95" t="s">
        <v>217</v>
      </c>
      <c r="GE33" s="7"/>
      <c r="GF33" s="7"/>
      <c r="GG33" s="7"/>
      <c r="GH33" s="7"/>
      <c r="GI33" s="7"/>
      <c r="GJ33" s="7"/>
      <c r="GK33" s="7"/>
      <c r="GL33" s="7"/>
      <c r="GM33" s="7"/>
      <c r="GN33" s="7"/>
      <c r="GO33" s="7"/>
      <c r="GP33" s="121"/>
      <c r="GQ33" s="7"/>
      <c r="GR33" s="95" t="s">
        <v>217</v>
      </c>
      <c r="GS33" s="7"/>
      <c r="GT33" s="7"/>
      <c r="GU33" s="61" t="str">
        <f t="shared" si="36"/>
        <v/>
      </c>
      <c r="GV33" s="61" t="str">
        <f t="shared" si="37"/>
        <v/>
      </c>
      <c r="GW33" s="61" t="str">
        <f t="shared" si="38"/>
        <v/>
      </c>
      <c r="GX33" s="61" t="str">
        <f t="shared" si="39"/>
        <v/>
      </c>
      <c r="GY33" s="61" t="str">
        <f t="shared" si="40"/>
        <v/>
      </c>
      <c r="GZ33" s="61" t="str">
        <f t="shared" si="41"/>
        <v/>
      </c>
      <c r="HA33" s="61" t="str">
        <f t="shared" si="42"/>
        <v/>
      </c>
      <c r="HB33" s="61" t="str">
        <f t="shared" si="43"/>
        <v/>
      </c>
      <c r="HC33" s="61" t="str">
        <f t="shared" si="44"/>
        <v/>
      </c>
      <c r="HD33" s="61" t="str">
        <f t="shared" si="45"/>
        <v/>
      </c>
      <c r="HE33" s="61" t="str">
        <f t="shared" si="46"/>
        <v/>
      </c>
      <c r="HF33" s="61" t="str">
        <f t="shared" si="47"/>
        <v/>
      </c>
      <c r="HG33" s="61" t="str">
        <f t="shared" si="48"/>
        <v/>
      </c>
      <c r="HH33" s="61" t="str">
        <f t="shared" si="49"/>
        <v/>
      </c>
      <c r="HI33" s="61" t="str">
        <f t="shared" si="50"/>
        <v/>
      </c>
      <c r="HJ33" s="61" t="str">
        <f t="shared" si="51"/>
        <v/>
      </c>
      <c r="HK33" s="61" t="str">
        <f t="shared" si="52"/>
        <v/>
      </c>
      <c r="HL33" s="61" t="str">
        <f t="shared" si="53"/>
        <v/>
      </c>
      <c r="HM33" s="61" t="str">
        <f t="shared" si="54"/>
        <v/>
      </c>
      <c r="HN33" s="61" t="str">
        <f t="shared" si="55"/>
        <v/>
      </c>
      <c r="HO33" s="61" t="str">
        <f t="shared" si="56"/>
        <v/>
      </c>
      <c r="HP33" s="61" t="str">
        <f t="shared" si="57"/>
        <v/>
      </c>
      <c r="HQ33" s="61" t="str">
        <f t="shared" si="58"/>
        <v/>
      </c>
      <c r="HR33" s="61" t="str">
        <f t="shared" si="59"/>
        <v/>
      </c>
      <c r="HS33" s="61" t="str">
        <f t="shared" si="60"/>
        <v/>
      </c>
      <c r="HT33" s="61" t="str">
        <f t="shared" si="61"/>
        <v/>
      </c>
      <c r="HU33" s="61" t="str">
        <f t="shared" si="62"/>
        <v/>
      </c>
      <c r="HV33" s="61" t="str">
        <f t="shared" si="63"/>
        <v/>
      </c>
      <c r="HW33" s="61" t="str">
        <f t="shared" si="64"/>
        <v/>
      </c>
      <c r="HX33" s="61" t="str">
        <f t="shared" si="65"/>
        <v/>
      </c>
      <c r="HY33" s="61" t="str">
        <f t="shared" si="66"/>
        <v/>
      </c>
      <c r="HZ33" s="61" t="str">
        <f t="shared" si="67"/>
        <v/>
      </c>
    </row>
    <row r="34" ht="15.75" customHeight="1">
      <c r="A34" s="49" t="s">
        <v>585</v>
      </c>
      <c r="B34" s="60" t="s">
        <v>586</v>
      </c>
      <c r="C34" s="117" t="s">
        <v>587</v>
      </c>
      <c r="D34" s="95" t="s">
        <v>209</v>
      </c>
      <c r="E34" s="96" t="str">
        <f t="shared" si="3"/>
        <v/>
      </c>
      <c r="F34" s="95" t="s">
        <v>245</v>
      </c>
      <c r="G34" s="95" t="s">
        <v>227</v>
      </c>
      <c r="H34" s="95">
        <v>2005.0</v>
      </c>
      <c r="I34" s="7"/>
      <c r="J34" s="95" t="s">
        <v>588</v>
      </c>
      <c r="K34" s="97" t="str">
        <f t="shared" si="144"/>
        <v/>
      </c>
      <c r="L34" s="97">
        <f t="shared" si="145"/>
        <v>1</v>
      </c>
      <c r="M34" s="97" t="str">
        <f t="shared" si="146"/>
        <v/>
      </c>
      <c r="N34" s="97" t="str">
        <f t="shared" si="147"/>
        <v/>
      </c>
      <c r="O34" s="97" t="str">
        <f t="shared" si="148"/>
        <v/>
      </c>
      <c r="P34" s="97" t="str">
        <f t="shared" si="149"/>
        <v/>
      </c>
      <c r="Q34" s="97" t="b">
        <f t="shared" si="105"/>
        <v>1</v>
      </c>
      <c r="R34" s="97" t="b">
        <f t="shared" si="150"/>
        <v>1</v>
      </c>
      <c r="S34" s="95">
        <v>1.0</v>
      </c>
      <c r="T34" s="95">
        <v>1.0</v>
      </c>
      <c r="U34" s="95">
        <v>1.0</v>
      </c>
      <c r="V34" s="97" t="b">
        <f t="shared" si="151"/>
        <v>1</v>
      </c>
      <c r="W34" s="95">
        <v>0.0</v>
      </c>
      <c r="X34" s="95">
        <v>1.0</v>
      </c>
      <c r="Y34" s="95">
        <v>1.0</v>
      </c>
      <c r="Z34" s="142" t="s">
        <v>589</v>
      </c>
      <c r="AA34" s="97" t="str">
        <f t="shared" si="152"/>
        <v/>
      </c>
      <c r="AB34" s="97" t="str">
        <f t="shared" si="153"/>
        <v>Sciascio:icwe05, </v>
      </c>
      <c r="AC34" s="95" t="s">
        <v>590</v>
      </c>
      <c r="AD34" s="95" t="s">
        <v>214</v>
      </c>
      <c r="AE34" s="7"/>
      <c r="AF34" s="97">
        <f>countif('Charts-SLR'!A:A,AD34)</f>
        <v>1</v>
      </c>
      <c r="AG34" s="95" t="s">
        <v>591</v>
      </c>
      <c r="AH34" s="97">
        <f t="shared" si="154"/>
        <v>0</v>
      </c>
      <c r="AI34" s="95" t="s">
        <v>250</v>
      </c>
      <c r="AJ34" s="95">
        <v>13.0</v>
      </c>
      <c r="AK34" s="99">
        <f t="shared" si="155"/>
        <v>1.857142857</v>
      </c>
      <c r="AL34" s="97" t="str">
        <f t="shared" si="156"/>
        <v/>
      </c>
      <c r="AM34" s="97">
        <f t="shared" si="157"/>
        <v>13</v>
      </c>
      <c r="AN34" s="97" t="str">
        <f t="shared" si="158"/>
        <v/>
      </c>
      <c r="AO34" s="97" t="str">
        <f t="shared" si="159"/>
        <v/>
      </c>
      <c r="AP34" s="97" t="str">
        <f t="shared" si="160"/>
        <v/>
      </c>
      <c r="AQ34" s="97" t="str">
        <f t="shared" si="161"/>
        <v/>
      </c>
      <c r="AR34" s="100"/>
      <c r="AS34" s="100"/>
      <c r="AT34" s="100"/>
      <c r="AU34" s="100"/>
      <c r="AV34" s="100"/>
      <c r="AW34" s="100"/>
      <c r="AX34" s="100"/>
      <c r="AY34" s="100"/>
      <c r="AZ34" s="100"/>
      <c r="BA34" s="100"/>
      <c r="BB34" s="101" t="str">
        <f t="shared" si="106"/>
        <v>ERR</v>
      </c>
      <c r="BC34" s="102" t="s">
        <v>217</v>
      </c>
      <c r="BD34" s="100"/>
      <c r="BE34" s="102" t="s">
        <v>217</v>
      </c>
      <c r="BF34" s="100"/>
      <c r="BG34" s="100"/>
      <c r="BH34" s="100"/>
      <c r="BI34" s="103">
        <f t="shared" si="162"/>
        <v>2</v>
      </c>
      <c r="BJ34" s="102" t="s">
        <v>217</v>
      </c>
      <c r="BK34" s="100"/>
      <c r="BL34" s="100"/>
      <c r="BM34" s="100"/>
      <c r="BN34" s="102" t="s">
        <v>592</v>
      </c>
      <c r="BO34" s="102" t="s">
        <v>217</v>
      </c>
      <c r="BP34" s="100"/>
      <c r="BQ34" s="100"/>
      <c r="BR34" s="100"/>
      <c r="BS34" s="100"/>
      <c r="BT34" s="100"/>
      <c r="BU34" s="74"/>
      <c r="BV34" s="100"/>
      <c r="BW34" s="102" t="s">
        <v>217</v>
      </c>
      <c r="BX34" s="100"/>
      <c r="BY34" s="100"/>
      <c r="BZ34" s="100"/>
      <c r="CA34" s="100"/>
      <c r="CB34" s="100"/>
      <c r="CC34" s="100"/>
      <c r="CD34" s="100"/>
      <c r="CE34" s="100"/>
      <c r="CF34" s="100"/>
      <c r="CG34" s="102" t="s">
        <v>217</v>
      </c>
      <c r="CH34" s="100"/>
      <c r="CI34" s="103" t="str">
        <f t="shared" si="141"/>
        <v/>
      </c>
      <c r="CJ34" s="103">
        <f t="shared" si="163"/>
        <v>1</v>
      </c>
      <c r="CK34" s="100"/>
      <c r="CL34" s="102" t="s">
        <v>217</v>
      </c>
      <c r="CM34" s="102" t="s">
        <v>217</v>
      </c>
      <c r="CN34" s="100"/>
      <c r="CO34" s="102" t="s">
        <v>217</v>
      </c>
      <c r="CP34" s="102" t="s">
        <v>217</v>
      </c>
      <c r="CQ34" s="100"/>
      <c r="CR34" s="7"/>
      <c r="CS34" s="7"/>
      <c r="CT34" s="7"/>
      <c r="CU34" s="7"/>
      <c r="CV34" s="7"/>
      <c r="CW34" s="7"/>
      <c r="CX34" s="7"/>
      <c r="CY34" s="7"/>
      <c r="CZ34" s="7"/>
      <c r="DA34" s="7"/>
      <c r="DB34" s="95" t="s">
        <v>217</v>
      </c>
      <c r="DC34" s="7"/>
      <c r="DD34" s="7"/>
      <c r="DE34" s="7"/>
      <c r="DF34" s="7"/>
      <c r="DG34" s="97">
        <f t="shared" si="108"/>
        <v>1</v>
      </c>
      <c r="DH34" s="7"/>
      <c r="DI34" s="7"/>
      <c r="DJ34" s="7"/>
      <c r="DK34" s="7"/>
      <c r="DL34" s="95" t="s">
        <v>217</v>
      </c>
      <c r="DM34" s="97">
        <f t="shared" si="164"/>
        <v>1</v>
      </c>
      <c r="DN34" s="7"/>
      <c r="DO34" s="95" t="s">
        <v>217</v>
      </c>
      <c r="DP34" s="97" t="str">
        <f t="shared" si="109"/>
        <v/>
      </c>
      <c r="DQ34" s="97" t="str">
        <f t="shared" si="110"/>
        <v/>
      </c>
      <c r="DR34" s="97" t="str">
        <f t="shared" si="111"/>
        <v>FA</v>
      </c>
      <c r="DS34" s="100"/>
      <c r="DT34" s="100"/>
      <c r="DU34" s="100"/>
      <c r="DV34" s="100"/>
      <c r="DW34" s="100"/>
      <c r="DX34" s="100"/>
      <c r="DY34" s="103">
        <f t="shared" si="29"/>
        <v>0</v>
      </c>
      <c r="DZ34" s="100"/>
      <c r="EA34" s="100"/>
      <c r="EB34" s="100"/>
      <c r="EC34" s="100"/>
      <c r="ED34" s="100"/>
      <c r="EE34" s="103">
        <f t="shared" si="30"/>
        <v>0</v>
      </c>
      <c r="EF34" s="103" t="str">
        <f t="shared" si="70"/>
        <v/>
      </c>
      <c r="EG34" s="97" t="str">
        <f t="shared" si="31"/>
        <v/>
      </c>
      <c r="EH34" s="7"/>
      <c r="EI34" s="7"/>
      <c r="EJ34" s="100"/>
      <c r="EK34" s="100"/>
      <c r="EL34" s="100"/>
      <c r="EM34" s="100"/>
      <c r="EN34" s="7"/>
      <c r="EO34" s="7"/>
      <c r="EP34" s="7"/>
      <c r="EQ34" s="95" t="s">
        <v>217</v>
      </c>
      <c r="ER34" s="7"/>
      <c r="ES34" s="7"/>
      <c r="ET34" s="100"/>
      <c r="EU34" s="100"/>
      <c r="EV34" s="100"/>
      <c r="EW34" s="100"/>
      <c r="EX34" s="100"/>
      <c r="EY34" s="7"/>
      <c r="EZ34" s="7"/>
      <c r="FA34" s="7"/>
      <c r="FB34" s="7"/>
      <c r="FC34" s="7"/>
      <c r="FD34" s="7"/>
      <c r="FE34" s="97" t="str">
        <f t="shared" si="32"/>
        <v/>
      </c>
      <c r="FF34" s="7"/>
      <c r="FG34" s="7"/>
      <c r="FH34" s="7"/>
      <c r="FI34" s="7"/>
      <c r="FJ34" s="7"/>
      <c r="FK34" s="7"/>
      <c r="FL34" s="7"/>
      <c r="FM34" s="7"/>
      <c r="FN34" s="7"/>
      <c r="FO34" s="7"/>
      <c r="FP34" s="95" t="s">
        <v>217</v>
      </c>
      <c r="FQ34" s="97" t="str">
        <f t="shared" si="165"/>
        <v/>
      </c>
      <c r="FR34" s="95" t="s">
        <v>217</v>
      </c>
      <c r="FS34" s="7"/>
      <c r="FT34" s="97" t="str">
        <f t="shared" si="166"/>
        <v/>
      </c>
      <c r="FU34" s="97" t="str">
        <f t="shared" si="167"/>
        <v/>
      </c>
      <c r="FV34" s="100"/>
      <c r="FW34" s="7"/>
      <c r="FX34" s="7"/>
      <c r="FY34" s="7"/>
      <c r="FZ34" s="95" t="s">
        <v>217</v>
      </c>
      <c r="GA34" s="7"/>
      <c r="GB34" s="7"/>
      <c r="GC34" s="7"/>
      <c r="GD34" s="7"/>
      <c r="GE34" s="7"/>
      <c r="GF34" s="7"/>
      <c r="GG34" s="7"/>
      <c r="GH34" s="7"/>
      <c r="GI34" s="95" t="s">
        <v>217</v>
      </c>
      <c r="GJ34" s="7"/>
      <c r="GK34" s="7"/>
      <c r="GL34" s="7"/>
      <c r="GM34" s="7"/>
      <c r="GN34" s="7"/>
      <c r="GO34" s="7"/>
      <c r="GP34" s="121"/>
      <c r="GQ34" s="7"/>
      <c r="GR34" s="95" t="s">
        <v>217</v>
      </c>
      <c r="GS34" s="7"/>
      <c r="GT34" s="7"/>
      <c r="GU34" s="61" t="str">
        <f t="shared" si="36"/>
        <v/>
      </c>
      <c r="GV34" s="61" t="str">
        <f t="shared" si="37"/>
        <v/>
      </c>
      <c r="GW34" s="61" t="str">
        <f t="shared" si="38"/>
        <v/>
      </c>
      <c r="GX34" s="61" t="str">
        <f t="shared" si="39"/>
        <v/>
      </c>
      <c r="GY34" s="61" t="str">
        <f t="shared" si="40"/>
        <v/>
      </c>
      <c r="GZ34" s="61" t="str">
        <f t="shared" si="41"/>
        <v/>
      </c>
      <c r="HA34" s="61" t="str">
        <f t="shared" si="42"/>
        <v>x</v>
      </c>
      <c r="HB34" s="61" t="str">
        <f t="shared" si="43"/>
        <v/>
      </c>
      <c r="HC34" s="61" t="str">
        <f t="shared" si="44"/>
        <v/>
      </c>
      <c r="HD34" s="61" t="str">
        <f t="shared" si="45"/>
        <v/>
      </c>
      <c r="HE34" s="61" t="str">
        <f t="shared" si="46"/>
        <v/>
      </c>
      <c r="HF34" s="61" t="str">
        <f t="shared" si="47"/>
        <v/>
      </c>
      <c r="HG34" s="61" t="str">
        <f t="shared" si="48"/>
        <v/>
      </c>
      <c r="HH34" s="61" t="str">
        <f t="shared" si="49"/>
        <v/>
      </c>
      <c r="HI34" s="61" t="str">
        <f t="shared" si="50"/>
        <v/>
      </c>
      <c r="HJ34" s="61" t="str">
        <f t="shared" si="51"/>
        <v/>
      </c>
      <c r="HK34" s="61" t="str">
        <f t="shared" si="52"/>
        <v/>
      </c>
      <c r="HL34" s="61" t="str">
        <f t="shared" si="53"/>
        <v/>
      </c>
      <c r="HM34" s="61" t="str">
        <f t="shared" si="54"/>
        <v/>
      </c>
      <c r="HN34" s="61" t="str">
        <f t="shared" si="55"/>
        <v/>
      </c>
      <c r="HO34" s="61" t="str">
        <f t="shared" si="56"/>
        <v/>
      </c>
      <c r="HP34" s="61" t="str">
        <f t="shared" si="57"/>
        <v/>
      </c>
      <c r="HQ34" s="61" t="str">
        <f t="shared" si="58"/>
        <v/>
      </c>
      <c r="HR34" s="61" t="str">
        <f t="shared" si="59"/>
        <v/>
      </c>
      <c r="HS34" s="61" t="str">
        <f t="shared" si="60"/>
        <v/>
      </c>
      <c r="HT34" s="61" t="str">
        <f t="shared" si="61"/>
        <v/>
      </c>
      <c r="HU34" s="61" t="str">
        <f t="shared" si="62"/>
        <v/>
      </c>
      <c r="HV34" s="61" t="str">
        <f t="shared" si="63"/>
        <v/>
      </c>
      <c r="HW34" s="61" t="str">
        <f t="shared" si="64"/>
        <v/>
      </c>
      <c r="HX34" s="61" t="str">
        <f t="shared" si="65"/>
        <v/>
      </c>
      <c r="HY34" s="61" t="str">
        <f t="shared" si="66"/>
        <v/>
      </c>
      <c r="HZ34" s="61" t="str">
        <f t="shared" si="67"/>
        <v/>
      </c>
    </row>
    <row r="35" ht="14.25" customHeight="1">
      <c r="A35" s="49" t="s">
        <v>593</v>
      </c>
      <c r="B35" s="80" t="s">
        <v>594</v>
      </c>
      <c r="C35" s="113" t="s">
        <v>595</v>
      </c>
      <c r="D35" s="80" t="s">
        <v>245</v>
      </c>
      <c r="E35" s="107">
        <f t="shared" si="3"/>
        <v>2</v>
      </c>
      <c r="F35" s="80" t="s">
        <v>209</v>
      </c>
      <c r="G35" s="80" t="s">
        <v>211</v>
      </c>
      <c r="H35" s="80">
        <v>2011.0</v>
      </c>
      <c r="J35" s="80" t="s">
        <v>596</v>
      </c>
      <c r="K35" s="61" t="str">
        <f t="shared" si="144"/>
        <v/>
      </c>
      <c r="L35" s="61" t="str">
        <f t="shared" si="145"/>
        <v/>
      </c>
      <c r="M35" s="61" t="str">
        <f t="shared" si="146"/>
        <v/>
      </c>
      <c r="N35" s="61" t="str">
        <f t="shared" si="147"/>
        <v/>
      </c>
      <c r="O35" s="61" t="str">
        <f t="shared" si="148"/>
        <v/>
      </c>
      <c r="P35" s="61">
        <f t="shared" si="149"/>
        <v>1</v>
      </c>
      <c r="Q35" s="61" t="b">
        <f t="shared" si="105"/>
        <v>1</v>
      </c>
      <c r="R35" s="61" t="b">
        <f t="shared" si="150"/>
        <v>1</v>
      </c>
      <c r="S35" s="80">
        <v>1.0</v>
      </c>
      <c r="T35" s="80">
        <v>1.0</v>
      </c>
      <c r="U35" s="80">
        <v>1.0</v>
      </c>
      <c r="V35" s="61" t="b">
        <f t="shared" si="151"/>
        <v>1</v>
      </c>
      <c r="W35" s="80">
        <v>1.0</v>
      </c>
      <c r="X35" s="80">
        <v>1.0</v>
      </c>
      <c r="Y35" s="80">
        <v>1.0</v>
      </c>
      <c r="AA35" s="61" t="str">
        <f t="shared" si="152"/>
        <v/>
      </c>
      <c r="AB35" s="61" t="str">
        <f t="shared" si="153"/>
        <v/>
      </c>
      <c r="AC35" s="80" t="s">
        <v>597</v>
      </c>
      <c r="AD35" s="80" t="s">
        <v>598</v>
      </c>
      <c r="AF35" s="61">
        <f>countif('Charts-SLR'!A:A,AD35)</f>
        <v>1</v>
      </c>
      <c r="AG35" s="80" t="s">
        <v>599</v>
      </c>
      <c r="AH35" s="61">
        <f t="shared" si="154"/>
        <v>0</v>
      </c>
      <c r="AI35" s="80" t="s">
        <v>250</v>
      </c>
      <c r="AJ35" s="80">
        <v>0.0</v>
      </c>
      <c r="AK35" s="108">
        <f t="shared" si="155"/>
        <v>0</v>
      </c>
      <c r="AL35" s="61" t="str">
        <f t="shared" si="156"/>
        <v/>
      </c>
      <c r="AM35" s="61">
        <f t="shared" si="157"/>
        <v>0</v>
      </c>
      <c r="AN35" s="61" t="str">
        <f t="shared" si="158"/>
        <v/>
      </c>
      <c r="AO35" s="61" t="str">
        <f t="shared" si="159"/>
        <v/>
      </c>
      <c r="AP35" s="61" t="str">
        <f t="shared" si="160"/>
        <v/>
      </c>
      <c r="AQ35" s="61" t="str">
        <f t="shared" si="161"/>
        <v/>
      </c>
      <c r="AR35" s="73" t="s">
        <v>217</v>
      </c>
      <c r="AS35" s="74"/>
      <c r="AT35" s="74"/>
      <c r="AU35" s="74"/>
      <c r="AV35" s="74"/>
      <c r="AW35" s="74"/>
      <c r="AX35" s="74"/>
      <c r="AY35" s="74"/>
      <c r="AZ35" s="74"/>
      <c r="BA35" s="74"/>
      <c r="BB35" s="109" t="str">
        <f t="shared" si="106"/>
        <v>ERR</v>
      </c>
      <c r="BC35" s="73" t="s">
        <v>217</v>
      </c>
      <c r="BD35" s="73" t="s">
        <v>217</v>
      </c>
      <c r="BE35" s="74"/>
      <c r="BF35" s="74"/>
      <c r="BG35" s="74"/>
      <c r="BH35" s="74"/>
      <c r="BI35" s="110">
        <f t="shared" si="162"/>
        <v>2</v>
      </c>
      <c r="BJ35" s="74"/>
      <c r="BK35" s="74"/>
      <c r="BL35" s="74"/>
      <c r="BM35" s="74"/>
      <c r="BN35" s="74"/>
      <c r="BO35" s="74"/>
      <c r="BP35" s="73" t="s">
        <v>217</v>
      </c>
      <c r="BQ35" s="74"/>
      <c r="BR35" s="74"/>
      <c r="BS35" s="74"/>
      <c r="BT35" s="74"/>
      <c r="BU35" s="74"/>
      <c r="BV35" s="74"/>
      <c r="BW35" s="74"/>
      <c r="BX35" s="73" t="s">
        <v>217</v>
      </c>
      <c r="BY35" s="73" t="s">
        <v>217</v>
      </c>
      <c r="BZ35" s="74"/>
      <c r="CA35" s="73" t="s">
        <v>217</v>
      </c>
      <c r="CB35" s="74"/>
      <c r="CC35" s="74"/>
      <c r="CD35" s="74"/>
      <c r="CE35" s="74"/>
      <c r="CF35" s="74"/>
      <c r="CG35" s="74"/>
      <c r="CH35" s="73" t="s">
        <v>217</v>
      </c>
      <c r="CI35" s="111" t="str">
        <f t="shared" si="141"/>
        <v/>
      </c>
      <c r="CJ35" s="110">
        <f t="shared" si="163"/>
        <v>2</v>
      </c>
      <c r="CK35" s="73" t="s">
        <v>217</v>
      </c>
      <c r="CL35" s="74"/>
      <c r="CM35" s="74"/>
      <c r="CN35" s="73" t="s">
        <v>217</v>
      </c>
      <c r="CO35" s="74"/>
      <c r="CP35" s="74"/>
      <c r="CQ35" s="74"/>
      <c r="DA35" s="80" t="s">
        <v>217</v>
      </c>
      <c r="DG35" s="61">
        <f t="shared" si="108"/>
        <v>1</v>
      </c>
      <c r="DH35" s="80" t="s">
        <v>217</v>
      </c>
      <c r="DL35" s="80" t="s">
        <v>217</v>
      </c>
      <c r="DM35" s="61">
        <f t="shared" si="164"/>
        <v>2</v>
      </c>
      <c r="DO35" s="80" t="s">
        <v>217</v>
      </c>
      <c r="DP35" s="61" t="str">
        <f t="shared" si="109"/>
        <v/>
      </c>
      <c r="DQ35" s="61" t="str">
        <f t="shared" si="110"/>
        <v/>
      </c>
      <c r="DR35" s="61" t="str">
        <f t="shared" si="111"/>
        <v>FA</v>
      </c>
      <c r="DS35" s="73" t="s">
        <v>451</v>
      </c>
      <c r="DT35" s="74"/>
      <c r="DU35" s="74"/>
      <c r="DV35" s="73" t="s">
        <v>217</v>
      </c>
      <c r="DW35" s="74"/>
      <c r="DX35" s="74"/>
      <c r="DY35" s="110">
        <f t="shared" si="29"/>
        <v>2</v>
      </c>
      <c r="DZ35" s="74"/>
      <c r="EA35" s="74"/>
      <c r="EB35" s="74"/>
      <c r="EC35" s="74"/>
      <c r="ED35" s="74"/>
      <c r="EE35" s="110">
        <f t="shared" si="30"/>
        <v>0</v>
      </c>
      <c r="EF35" s="110" t="str">
        <f t="shared" si="70"/>
        <v/>
      </c>
      <c r="EG35" s="61" t="str">
        <f t="shared" si="31"/>
        <v/>
      </c>
      <c r="EI35" s="80" t="s">
        <v>600</v>
      </c>
      <c r="EJ35" s="74"/>
      <c r="EK35" s="74"/>
      <c r="EL35" s="74"/>
      <c r="EM35" s="74"/>
      <c r="EO35" s="80" t="s">
        <v>217</v>
      </c>
      <c r="ES35" s="80" t="s">
        <v>601</v>
      </c>
      <c r="ET35" s="73">
        <v>0.0</v>
      </c>
      <c r="EU35" s="74"/>
      <c r="EV35" s="74"/>
      <c r="EW35" s="74"/>
      <c r="EX35" s="74"/>
      <c r="EZ35" s="80" t="s">
        <v>602</v>
      </c>
      <c r="FE35" s="97">
        <f t="shared" si="32"/>
        <v>0</v>
      </c>
      <c r="FF35" s="80">
        <v>0.5</v>
      </c>
      <c r="FG35" s="80">
        <v>0.5</v>
      </c>
      <c r="FH35" s="80">
        <v>0.5</v>
      </c>
      <c r="FI35" s="61">
        <f t="shared" ref="FI35:FI36" si="168">sum(FF35:FH35)</f>
        <v>1.5</v>
      </c>
      <c r="FJ35" s="80">
        <v>1.0</v>
      </c>
      <c r="FK35" s="80">
        <v>0.0</v>
      </c>
      <c r="FL35" s="80" t="s">
        <v>189</v>
      </c>
      <c r="FM35" s="61" t="str">
        <f t="shared" ref="FM35:FM36" si="169">if(GP35&lt;1000, "0", if(GP35&lt;10000, "0.5","1"))</f>
        <v>0.5</v>
      </c>
      <c r="FN35" s="61">
        <f t="shared" ref="FN35:FN36" si="170">sum(FJ35:FM35)</f>
        <v>1</v>
      </c>
      <c r="FP35" s="80" t="s">
        <v>217</v>
      </c>
      <c r="FQ35" s="61" t="str">
        <f t="shared" si="165"/>
        <v/>
      </c>
      <c r="FR35" s="80" t="s">
        <v>217</v>
      </c>
      <c r="FT35" s="61" t="str">
        <f t="shared" si="166"/>
        <v/>
      </c>
      <c r="FU35" s="61" t="str">
        <f t="shared" si="167"/>
        <v/>
      </c>
      <c r="FV35" s="73" t="s">
        <v>217</v>
      </c>
      <c r="FZ35" s="80" t="s">
        <v>217</v>
      </c>
      <c r="GE35" s="80" t="s">
        <v>217</v>
      </c>
      <c r="GL35" s="80" t="s">
        <v>603</v>
      </c>
      <c r="GN35" s="80">
        <v>2.0</v>
      </c>
      <c r="GO35" s="80" t="s">
        <v>604</v>
      </c>
      <c r="GP35" s="112">
        <v>1207.0</v>
      </c>
      <c r="GT35" s="80" t="s">
        <v>217</v>
      </c>
      <c r="GU35" s="61" t="str">
        <f t="shared" si="36"/>
        <v/>
      </c>
      <c r="GV35" s="61" t="str">
        <f t="shared" si="37"/>
        <v/>
      </c>
      <c r="GW35" s="61" t="str">
        <f t="shared" si="38"/>
        <v/>
      </c>
      <c r="GX35" s="61" t="str">
        <f t="shared" si="39"/>
        <v/>
      </c>
      <c r="GY35" s="61" t="str">
        <f t="shared" si="40"/>
        <v/>
      </c>
      <c r="GZ35" s="61" t="str">
        <f t="shared" si="41"/>
        <v/>
      </c>
      <c r="HA35" s="61" t="str">
        <f t="shared" si="42"/>
        <v/>
      </c>
      <c r="HB35" s="61" t="str">
        <f t="shared" si="43"/>
        <v/>
      </c>
      <c r="HC35" s="61" t="str">
        <f t="shared" si="44"/>
        <v/>
      </c>
      <c r="HD35" s="61" t="str">
        <f t="shared" si="45"/>
        <v/>
      </c>
      <c r="HE35" s="61" t="str">
        <f t="shared" si="46"/>
        <v/>
      </c>
      <c r="HF35" s="61" t="str">
        <f t="shared" si="47"/>
        <v/>
      </c>
      <c r="HG35" s="61" t="str">
        <f t="shared" si="48"/>
        <v/>
      </c>
      <c r="HH35" s="61" t="str">
        <f t="shared" si="49"/>
        <v/>
      </c>
      <c r="HI35" s="61" t="str">
        <f t="shared" si="50"/>
        <v/>
      </c>
      <c r="HJ35" s="61" t="str">
        <f t="shared" si="51"/>
        <v/>
      </c>
      <c r="HK35" s="61" t="str">
        <f t="shared" si="52"/>
        <v/>
      </c>
      <c r="HL35" s="61" t="str">
        <f t="shared" si="53"/>
        <v/>
      </c>
      <c r="HM35" s="61" t="str">
        <f t="shared" si="54"/>
        <v/>
      </c>
      <c r="HN35" s="61" t="str">
        <f t="shared" si="55"/>
        <v/>
      </c>
      <c r="HO35" s="61" t="str">
        <f t="shared" si="56"/>
        <v/>
      </c>
      <c r="HP35" s="61" t="str">
        <f t="shared" si="57"/>
        <v/>
      </c>
      <c r="HQ35" s="61" t="str">
        <f t="shared" si="58"/>
        <v>x</v>
      </c>
      <c r="HR35" s="61" t="str">
        <f t="shared" si="59"/>
        <v/>
      </c>
      <c r="HS35" s="61" t="str">
        <f t="shared" si="60"/>
        <v/>
      </c>
      <c r="HT35" s="61" t="str">
        <f t="shared" si="61"/>
        <v/>
      </c>
      <c r="HU35" s="61" t="str">
        <f t="shared" si="62"/>
        <v/>
      </c>
      <c r="HV35" s="61" t="str">
        <f t="shared" si="63"/>
        <v/>
      </c>
      <c r="HW35" s="61" t="str">
        <f t="shared" si="64"/>
        <v/>
      </c>
      <c r="HX35" s="61" t="str">
        <f t="shared" si="65"/>
        <v/>
      </c>
      <c r="HY35" s="61" t="str">
        <f t="shared" si="66"/>
        <v/>
      </c>
      <c r="HZ35" s="61" t="str">
        <f t="shared" si="67"/>
        <v/>
      </c>
    </row>
    <row r="36" ht="1.5" customHeight="1">
      <c r="A36" s="49" t="s">
        <v>605</v>
      </c>
      <c r="B36" s="80" t="s">
        <v>606</v>
      </c>
      <c r="C36" s="113" t="s">
        <v>607</v>
      </c>
      <c r="D36" s="80" t="s">
        <v>245</v>
      </c>
      <c r="E36" s="107">
        <f t="shared" si="3"/>
        <v>2</v>
      </c>
      <c r="F36" s="80" t="s">
        <v>210</v>
      </c>
      <c r="G36" s="80" t="s">
        <v>211</v>
      </c>
      <c r="H36" s="80">
        <v>2010.0</v>
      </c>
      <c r="J36" s="80" t="s">
        <v>608</v>
      </c>
      <c r="K36" s="61" t="str">
        <f t="shared" si="144"/>
        <v/>
      </c>
      <c r="L36" s="61" t="str">
        <f t="shared" si="145"/>
        <v/>
      </c>
      <c r="M36" s="61" t="str">
        <f t="shared" si="146"/>
        <v/>
      </c>
      <c r="N36" s="61" t="str">
        <f t="shared" si="147"/>
        <v/>
      </c>
      <c r="O36" s="61">
        <f t="shared" si="148"/>
        <v>1</v>
      </c>
      <c r="P36" s="61" t="str">
        <f t="shared" si="149"/>
        <v/>
      </c>
      <c r="Q36" s="61" t="b">
        <f t="shared" si="105"/>
        <v>1</v>
      </c>
      <c r="R36" s="61" t="b">
        <f t="shared" si="150"/>
        <v>1</v>
      </c>
      <c r="S36" s="80">
        <v>1.0</v>
      </c>
      <c r="T36" s="80">
        <v>1.0</v>
      </c>
      <c r="U36" s="80">
        <v>1.0</v>
      </c>
      <c r="V36" s="61" t="b">
        <f t="shared" si="151"/>
        <v>1</v>
      </c>
      <c r="W36" s="80">
        <v>1.0</v>
      </c>
      <c r="X36" s="80">
        <v>1.0</v>
      </c>
      <c r="Y36" s="80">
        <v>1.0</v>
      </c>
      <c r="Z36" s="80" t="s">
        <v>609</v>
      </c>
      <c r="AA36" s="61" t="str">
        <f t="shared" si="152"/>
        <v/>
      </c>
      <c r="AB36" s="61" t="str">
        <f t="shared" si="153"/>
        <v>Pattabiraman:ISSRE10, </v>
      </c>
      <c r="AC36" s="114" t="s">
        <v>610</v>
      </c>
      <c r="AD36" s="80" t="s">
        <v>387</v>
      </c>
      <c r="AE36" s="80" t="s">
        <v>217</v>
      </c>
      <c r="AF36" s="80">
        <v>1.0</v>
      </c>
      <c r="AG36" s="80" t="s">
        <v>413</v>
      </c>
      <c r="AH36" s="61">
        <f t="shared" si="154"/>
        <v>0</v>
      </c>
      <c r="AI36" s="80" t="s">
        <v>268</v>
      </c>
      <c r="AJ36" s="80">
        <v>5.0</v>
      </c>
      <c r="AK36" s="108">
        <f t="shared" si="155"/>
        <v>2.5</v>
      </c>
      <c r="AL36" s="61" t="str">
        <f t="shared" si="156"/>
        <v/>
      </c>
      <c r="AM36" s="61" t="str">
        <f t="shared" si="157"/>
        <v/>
      </c>
      <c r="AN36" s="61" t="str">
        <f t="shared" si="158"/>
        <v/>
      </c>
      <c r="AO36" s="61" t="str">
        <f t="shared" si="159"/>
        <v/>
      </c>
      <c r="AP36" s="61">
        <f t="shared" si="160"/>
        <v>5</v>
      </c>
      <c r="AQ36" s="61" t="str">
        <f t="shared" si="161"/>
        <v/>
      </c>
      <c r="AR36" s="74"/>
      <c r="AS36" s="74"/>
      <c r="AT36" s="74"/>
      <c r="AU36" s="74"/>
      <c r="AV36" s="74"/>
      <c r="AW36" s="74"/>
      <c r="AX36" s="74"/>
      <c r="AY36" s="74"/>
      <c r="AZ36" s="74"/>
      <c r="BA36" s="73" t="s">
        <v>217</v>
      </c>
      <c r="BB36" s="109" t="str">
        <f t="shared" si="106"/>
        <v/>
      </c>
      <c r="BC36" s="73" t="s">
        <v>217</v>
      </c>
      <c r="BD36" s="73" t="s">
        <v>217</v>
      </c>
      <c r="BE36" s="74"/>
      <c r="BF36" s="74"/>
      <c r="BG36" s="74"/>
      <c r="BH36" s="74"/>
      <c r="BI36" s="110">
        <f t="shared" si="162"/>
        <v>2</v>
      </c>
      <c r="BJ36" s="74"/>
      <c r="BK36" s="74"/>
      <c r="BL36" s="74"/>
      <c r="BM36" s="74"/>
      <c r="BN36" s="74"/>
      <c r="BO36" s="74"/>
      <c r="BP36" s="73" t="s">
        <v>217</v>
      </c>
      <c r="BQ36" s="74"/>
      <c r="BR36" s="74"/>
      <c r="BS36" s="74"/>
      <c r="BT36" s="74"/>
      <c r="BU36" s="74"/>
      <c r="BV36" s="73" t="s">
        <v>217</v>
      </c>
      <c r="BW36" s="74"/>
      <c r="BX36" s="73" t="s">
        <v>217</v>
      </c>
      <c r="BY36" s="74"/>
      <c r="BZ36" s="74"/>
      <c r="CA36" s="74"/>
      <c r="CB36" s="73" t="s">
        <v>217</v>
      </c>
      <c r="CC36" s="74"/>
      <c r="CD36" s="74"/>
      <c r="CE36" s="73" t="s">
        <v>217</v>
      </c>
      <c r="CF36" s="73" t="s">
        <v>611</v>
      </c>
      <c r="CG36" s="73" t="s">
        <v>217</v>
      </c>
      <c r="CH36" s="74"/>
      <c r="CI36" s="111" t="str">
        <f t="shared" si="141"/>
        <v/>
      </c>
      <c r="CJ36" s="110">
        <f t="shared" si="163"/>
        <v>1</v>
      </c>
      <c r="CK36" s="74"/>
      <c r="CL36" s="74"/>
      <c r="CM36" s="73" t="s">
        <v>217</v>
      </c>
      <c r="CN36" s="74"/>
      <c r="CO36" s="74"/>
      <c r="CP36" s="74"/>
      <c r="CQ36" s="73" t="s">
        <v>217</v>
      </c>
      <c r="DD36" s="80" t="s">
        <v>217</v>
      </c>
      <c r="DG36" s="61">
        <f t="shared" si="108"/>
        <v>1</v>
      </c>
      <c r="DJ36" s="80" t="s">
        <v>217</v>
      </c>
      <c r="DM36" s="61">
        <f t="shared" si="164"/>
        <v>1</v>
      </c>
      <c r="DO36" s="80" t="s">
        <v>217</v>
      </c>
      <c r="DP36" s="61" t="str">
        <f t="shared" si="109"/>
        <v/>
      </c>
      <c r="DQ36" s="61" t="str">
        <f t="shared" si="110"/>
        <v/>
      </c>
      <c r="DR36" s="61" t="str">
        <f t="shared" si="111"/>
        <v>FA</v>
      </c>
      <c r="DS36" s="74"/>
      <c r="DT36" s="74"/>
      <c r="DU36" s="74"/>
      <c r="DV36" s="74"/>
      <c r="DW36" s="73" t="s">
        <v>217</v>
      </c>
      <c r="DX36" s="74"/>
      <c r="DY36" s="110">
        <f t="shared" si="29"/>
        <v>1</v>
      </c>
      <c r="DZ36" s="74"/>
      <c r="EA36" s="73" t="s">
        <v>217</v>
      </c>
      <c r="EB36" s="74"/>
      <c r="EC36" s="74"/>
      <c r="ED36" s="74"/>
      <c r="EE36" s="110">
        <f t="shared" si="30"/>
        <v>1</v>
      </c>
      <c r="EF36" s="110" t="str">
        <f t="shared" si="70"/>
        <v>x</v>
      </c>
      <c r="EG36" s="61" t="str">
        <f t="shared" si="31"/>
        <v/>
      </c>
      <c r="EI36" s="80" t="s">
        <v>612</v>
      </c>
      <c r="EJ36" s="74"/>
      <c r="EK36" s="74"/>
      <c r="EL36" s="74"/>
      <c r="EM36" s="74"/>
      <c r="EN36" s="80" t="s">
        <v>217</v>
      </c>
      <c r="EP36" s="80" t="s">
        <v>217</v>
      </c>
      <c r="ES36" s="80" t="s">
        <v>613</v>
      </c>
      <c r="ET36" s="73">
        <v>3.0</v>
      </c>
      <c r="EU36" s="74"/>
      <c r="EV36" s="74"/>
      <c r="EW36" s="74"/>
      <c r="EX36" s="74"/>
      <c r="EZ36" s="80" t="s">
        <v>614</v>
      </c>
      <c r="FA36" s="80" t="s">
        <v>615</v>
      </c>
      <c r="FD36" s="80" t="s">
        <v>256</v>
      </c>
      <c r="FE36" s="97">
        <f t="shared" si="32"/>
        <v>2</v>
      </c>
      <c r="FF36" s="80">
        <v>1.0</v>
      </c>
      <c r="FG36" s="80">
        <v>1.0</v>
      </c>
      <c r="FH36" s="80">
        <v>0.5</v>
      </c>
      <c r="FI36" s="61">
        <f t="shared" si="168"/>
        <v>2.5</v>
      </c>
      <c r="FJ36" s="80">
        <v>1.0</v>
      </c>
      <c r="FK36" s="80">
        <v>0.0</v>
      </c>
      <c r="FL36" s="80" t="s">
        <v>189</v>
      </c>
      <c r="FM36" s="61" t="str">
        <f t="shared" si="169"/>
        <v>1</v>
      </c>
      <c r="FN36" s="61">
        <f t="shared" si="170"/>
        <v>1</v>
      </c>
      <c r="FP36" s="80" t="s">
        <v>217</v>
      </c>
      <c r="FQ36" s="61" t="str">
        <f t="shared" si="165"/>
        <v/>
      </c>
      <c r="FS36" s="80" t="s">
        <v>217</v>
      </c>
      <c r="FT36" s="61" t="str">
        <f t="shared" si="166"/>
        <v/>
      </c>
      <c r="FU36" s="61" t="str">
        <f t="shared" si="167"/>
        <v/>
      </c>
      <c r="FV36" s="73" t="s">
        <v>217</v>
      </c>
      <c r="FX36" s="80" t="s">
        <v>217</v>
      </c>
      <c r="FY36" s="80" t="s">
        <v>217</v>
      </c>
      <c r="GI36" s="80" t="s">
        <v>217</v>
      </c>
      <c r="GL36" s="80" t="s">
        <v>616</v>
      </c>
      <c r="GN36" s="80">
        <v>3.0</v>
      </c>
      <c r="GO36" s="80" t="s">
        <v>617</v>
      </c>
      <c r="GP36" s="112">
        <v>25749.0</v>
      </c>
      <c r="GQ36" s="80" t="s">
        <v>618</v>
      </c>
      <c r="GR36" s="80" t="s">
        <v>217</v>
      </c>
      <c r="GS36" s="80" t="s">
        <v>217</v>
      </c>
      <c r="GU36" s="61" t="str">
        <f t="shared" si="36"/>
        <v/>
      </c>
      <c r="GV36" s="61" t="str">
        <f t="shared" si="37"/>
        <v/>
      </c>
      <c r="GW36" s="61" t="str">
        <f t="shared" si="38"/>
        <v/>
      </c>
      <c r="GX36" s="61" t="str">
        <f t="shared" si="39"/>
        <v/>
      </c>
      <c r="GY36" s="61" t="str">
        <f t="shared" si="40"/>
        <v/>
      </c>
      <c r="GZ36" s="61" t="str">
        <f t="shared" si="41"/>
        <v/>
      </c>
      <c r="HA36" s="61" t="str">
        <f t="shared" si="42"/>
        <v/>
      </c>
      <c r="HB36" s="61" t="str">
        <f t="shared" si="43"/>
        <v/>
      </c>
      <c r="HC36" s="61" t="str">
        <f t="shared" si="44"/>
        <v>x</v>
      </c>
      <c r="HD36" s="61" t="str">
        <f t="shared" si="45"/>
        <v/>
      </c>
      <c r="HE36" s="61" t="str">
        <f t="shared" si="46"/>
        <v/>
      </c>
      <c r="HF36" s="61" t="str">
        <f t="shared" si="47"/>
        <v/>
      </c>
      <c r="HG36" s="61" t="str">
        <f t="shared" si="48"/>
        <v/>
      </c>
      <c r="HH36" s="61" t="str">
        <f t="shared" si="49"/>
        <v/>
      </c>
      <c r="HI36" s="61" t="str">
        <f t="shared" si="50"/>
        <v/>
      </c>
      <c r="HJ36" s="61" t="str">
        <f t="shared" si="51"/>
        <v/>
      </c>
      <c r="HK36" s="61" t="str">
        <f t="shared" si="52"/>
        <v/>
      </c>
      <c r="HL36" s="61" t="str">
        <f t="shared" si="53"/>
        <v/>
      </c>
      <c r="HM36" s="61" t="str">
        <f t="shared" si="54"/>
        <v/>
      </c>
      <c r="HN36" s="61" t="str">
        <f t="shared" si="55"/>
        <v>x</v>
      </c>
      <c r="HO36" s="61" t="str">
        <f t="shared" si="56"/>
        <v/>
      </c>
      <c r="HP36" s="61" t="str">
        <f t="shared" si="57"/>
        <v/>
      </c>
      <c r="HQ36" s="61" t="str">
        <f t="shared" si="58"/>
        <v/>
      </c>
      <c r="HR36" s="61" t="str">
        <f t="shared" si="59"/>
        <v/>
      </c>
      <c r="HS36" s="61" t="str">
        <f t="shared" si="60"/>
        <v/>
      </c>
      <c r="HT36" s="61" t="str">
        <f t="shared" si="61"/>
        <v/>
      </c>
      <c r="HU36" s="61" t="str">
        <f t="shared" si="62"/>
        <v/>
      </c>
      <c r="HV36" s="61" t="str">
        <f t="shared" si="63"/>
        <v/>
      </c>
      <c r="HW36" s="61" t="str">
        <f t="shared" si="64"/>
        <v/>
      </c>
      <c r="HX36" s="61" t="str">
        <f t="shared" si="65"/>
        <v/>
      </c>
      <c r="HY36" s="61" t="str">
        <f t="shared" si="66"/>
        <v/>
      </c>
      <c r="HZ36" s="61" t="str">
        <f t="shared" si="67"/>
        <v>x</v>
      </c>
    </row>
    <row r="37" ht="15.0" customHeight="1">
      <c r="A37" s="49" t="s">
        <v>619</v>
      </c>
      <c r="B37" s="87" t="s">
        <v>620</v>
      </c>
      <c r="C37" s="118" t="s">
        <v>621</v>
      </c>
      <c r="D37" s="95" t="s">
        <v>301</v>
      </c>
      <c r="E37" s="96" t="str">
        <f t="shared" si="3"/>
        <v/>
      </c>
      <c r="F37" s="95" t="s">
        <v>210</v>
      </c>
      <c r="G37" s="95" t="s">
        <v>217</v>
      </c>
      <c r="H37" s="95">
        <v>2002.0</v>
      </c>
      <c r="I37" s="7"/>
      <c r="J37" s="95" t="s">
        <v>622</v>
      </c>
      <c r="K37" s="7"/>
      <c r="L37" s="7"/>
      <c r="M37" s="7"/>
      <c r="N37" s="7"/>
      <c r="O37" s="7"/>
      <c r="P37" s="7"/>
      <c r="Q37" s="97" t="b">
        <f t="shared" si="105"/>
        <v>1</v>
      </c>
      <c r="R37" s="97" t="b">
        <f t="shared" ref="R37:R38" si="171">if(AVERAGE(S37:U37)&gt;=5, TRUE, FALSE)</f>
        <v>1</v>
      </c>
      <c r="S37" s="95">
        <v>5.0</v>
      </c>
      <c r="T37" s="95">
        <v>7.0</v>
      </c>
      <c r="U37" s="95">
        <v>6.0</v>
      </c>
      <c r="V37" s="97" t="b">
        <f t="shared" ref="V37:V38" si="172">if(AVERAGE(W37:Y37)&gt;=5, TRUE, FALSE)</f>
        <v>1</v>
      </c>
      <c r="W37" s="95">
        <v>5.0</v>
      </c>
      <c r="X37" s="95">
        <v>7.0</v>
      </c>
      <c r="Y37" s="95">
        <v>6.0</v>
      </c>
      <c r="Z37" s="142" t="s">
        <v>623</v>
      </c>
      <c r="AA37" s="7"/>
      <c r="AB37" s="7"/>
      <c r="AC37" s="120"/>
      <c r="AD37" s="7"/>
      <c r="AE37" s="7"/>
      <c r="AF37" s="7"/>
      <c r="AG37" s="7"/>
      <c r="AH37" s="7"/>
      <c r="AI37" s="7"/>
      <c r="AJ37" s="7"/>
      <c r="AK37" s="7"/>
      <c r="AL37" s="7"/>
      <c r="AM37" s="7"/>
      <c r="AN37" s="7"/>
      <c r="AO37" s="7"/>
      <c r="AP37" s="7"/>
      <c r="AQ37" s="7"/>
      <c r="AR37" s="100"/>
      <c r="AS37" s="100"/>
      <c r="AT37" s="100"/>
      <c r="AU37" s="100"/>
      <c r="AV37" s="100"/>
      <c r="AW37" s="100"/>
      <c r="AX37" s="100"/>
      <c r="AY37" s="100"/>
      <c r="AZ37" s="100"/>
      <c r="BA37" s="100"/>
      <c r="BB37" s="101" t="str">
        <f t="shared" si="106"/>
        <v>ERR</v>
      </c>
      <c r="BC37" s="102" t="s">
        <v>217</v>
      </c>
      <c r="BD37" s="100"/>
      <c r="BE37" s="102" t="s">
        <v>217</v>
      </c>
      <c r="BF37" s="100"/>
      <c r="BG37" s="100"/>
      <c r="BH37" s="100"/>
      <c r="BI37" s="100"/>
      <c r="BJ37" s="102" t="s">
        <v>217</v>
      </c>
      <c r="BK37" s="100"/>
      <c r="BL37" s="100"/>
      <c r="BM37" s="100"/>
      <c r="BN37" s="102" t="s">
        <v>218</v>
      </c>
      <c r="BO37" s="102" t="s">
        <v>217</v>
      </c>
      <c r="BP37" s="100"/>
      <c r="BQ37" s="100"/>
      <c r="BR37" s="100"/>
      <c r="BS37" s="100"/>
      <c r="BT37" s="100"/>
      <c r="BU37" s="74"/>
      <c r="BV37" s="102" t="s">
        <v>217</v>
      </c>
      <c r="BW37" s="102" t="s">
        <v>217</v>
      </c>
      <c r="BX37" s="102" t="s">
        <v>217</v>
      </c>
      <c r="BY37" s="102" t="s">
        <v>217</v>
      </c>
      <c r="BZ37" s="100"/>
      <c r="CA37" s="100"/>
      <c r="CB37" s="100"/>
      <c r="CC37" s="100"/>
      <c r="CD37" s="100"/>
      <c r="CE37" s="102" t="s">
        <v>217</v>
      </c>
      <c r="CF37" s="102" t="s">
        <v>624</v>
      </c>
      <c r="CG37" s="100"/>
      <c r="CH37" s="100"/>
      <c r="CI37" s="103" t="str">
        <f t="shared" si="141"/>
        <v/>
      </c>
      <c r="CJ37" s="100"/>
      <c r="CK37" s="102">
        <v>1.0</v>
      </c>
      <c r="CL37" s="102">
        <v>1.0</v>
      </c>
      <c r="CM37" s="100"/>
      <c r="CN37" s="100"/>
      <c r="CO37" s="100"/>
      <c r="CP37" s="100"/>
      <c r="CQ37" s="100"/>
      <c r="CR37" s="7"/>
      <c r="CS37" s="95" t="s">
        <v>217</v>
      </c>
      <c r="CT37" s="7"/>
      <c r="CU37" s="7"/>
      <c r="CV37" s="7"/>
      <c r="CW37" s="7"/>
      <c r="CX37" s="95" t="s">
        <v>217</v>
      </c>
      <c r="CY37" s="95" t="s">
        <v>217</v>
      </c>
      <c r="CZ37" s="7"/>
      <c r="DA37" s="7"/>
      <c r="DB37" s="7"/>
      <c r="DC37" s="7"/>
      <c r="DD37" s="7"/>
      <c r="DE37" s="7"/>
      <c r="DF37" s="7"/>
      <c r="DG37" s="97">
        <f t="shared" si="108"/>
        <v>2</v>
      </c>
      <c r="DH37" s="7"/>
      <c r="DI37" s="7"/>
      <c r="DJ37" s="7"/>
      <c r="DK37" s="7"/>
      <c r="DL37" s="95" t="s">
        <v>217</v>
      </c>
      <c r="DM37" s="7"/>
      <c r="DN37" s="7"/>
      <c r="DO37" s="95" t="s">
        <v>217</v>
      </c>
      <c r="DP37" s="97" t="str">
        <f t="shared" si="109"/>
        <v/>
      </c>
      <c r="DQ37" s="97" t="str">
        <f t="shared" si="110"/>
        <v/>
      </c>
      <c r="DR37" s="97" t="str">
        <f t="shared" si="111"/>
        <v>FA</v>
      </c>
      <c r="DS37" s="100"/>
      <c r="DT37" s="100"/>
      <c r="DU37" s="100"/>
      <c r="DV37" s="100"/>
      <c r="DW37" s="100"/>
      <c r="DX37" s="100"/>
      <c r="DY37" s="103">
        <f t="shared" si="29"/>
        <v>0</v>
      </c>
      <c r="DZ37" s="103" t="str">
        <f t="shared" ref="DZ37:DZ38" si="173">if(AND(DS37&lt;&gt;"",DW37="x"), "x", "")</f>
        <v/>
      </c>
      <c r="EA37" s="100"/>
      <c r="EB37" s="100"/>
      <c r="EC37" s="100"/>
      <c r="ED37" s="100"/>
      <c r="EE37" s="103">
        <f t="shared" si="30"/>
        <v>0</v>
      </c>
      <c r="EF37" s="103" t="str">
        <f t="shared" si="70"/>
        <v/>
      </c>
      <c r="EG37" s="97" t="str">
        <f t="shared" si="31"/>
        <v/>
      </c>
      <c r="EH37" s="7"/>
      <c r="EI37" s="7"/>
      <c r="EJ37" s="100"/>
      <c r="EK37" s="100"/>
      <c r="EL37" s="100"/>
      <c r="EM37" s="100"/>
      <c r="EN37" s="7"/>
      <c r="EO37" s="7"/>
      <c r="EP37" s="7"/>
      <c r="EQ37" s="7"/>
      <c r="ER37" s="7"/>
      <c r="ES37" s="7"/>
      <c r="ET37" s="100"/>
      <c r="EU37" s="100"/>
      <c r="EV37" s="100"/>
      <c r="EW37" s="100"/>
      <c r="EX37" s="100"/>
      <c r="EY37" s="7"/>
      <c r="EZ37" s="7"/>
      <c r="FA37" s="7"/>
      <c r="FB37" s="7"/>
      <c r="FC37" s="7"/>
      <c r="FD37" s="7"/>
      <c r="FE37" s="97" t="str">
        <f t="shared" si="32"/>
        <v/>
      </c>
      <c r="FF37" s="7"/>
      <c r="FG37" s="7"/>
      <c r="FH37" s="7"/>
      <c r="FI37" s="7"/>
      <c r="FJ37" s="7"/>
      <c r="FK37" s="7"/>
      <c r="FL37" s="7"/>
      <c r="FM37" s="7"/>
      <c r="FN37" s="7"/>
      <c r="FO37" s="7"/>
      <c r="FP37" s="95" t="s">
        <v>217</v>
      </c>
      <c r="FQ37" s="7"/>
      <c r="FR37" s="95" t="s">
        <v>217</v>
      </c>
      <c r="FS37" s="7"/>
      <c r="FT37" s="7"/>
      <c r="FU37" s="7"/>
      <c r="FV37" s="100"/>
      <c r="FW37" s="95" t="s">
        <v>217</v>
      </c>
      <c r="FX37" s="7"/>
      <c r="FY37" s="7"/>
      <c r="FZ37" s="7"/>
      <c r="GA37" s="7"/>
      <c r="GB37" s="7"/>
      <c r="GC37" s="7"/>
      <c r="GD37" s="7"/>
      <c r="GE37" s="7"/>
      <c r="GF37" s="7"/>
      <c r="GG37" s="7"/>
      <c r="GH37" s="7"/>
      <c r="GI37" s="95" t="s">
        <v>217</v>
      </c>
      <c r="GJ37" s="7"/>
      <c r="GK37" s="7"/>
      <c r="GL37" s="7"/>
      <c r="GM37" s="7"/>
      <c r="GN37" s="7"/>
      <c r="GO37" s="7"/>
      <c r="GP37" s="7"/>
      <c r="GQ37" s="7"/>
      <c r="GR37" s="7"/>
      <c r="GS37" s="7"/>
      <c r="GT37" s="7"/>
      <c r="GU37" s="61" t="str">
        <f t="shared" si="36"/>
        <v/>
      </c>
      <c r="GV37" s="61" t="str">
        <f t="shared" si="37"/>
        <v/>
      </c>
      <c r="GW37" s="61" t="str">
        <f t="shared" si="38"/>
        <v/>
      </c>
      <c r="GX37" s="61" t="str">
        <f t="shared" si="39"/>
        <v/>
      </c>
      <c r="GY37" s="61" t="str">
        <f t="shared" si="40"/>
        <v/>
      </c>
      <c r="GZ37" s="61" t="str">
        <f t="shared" si="41"/>
        <v/>
      </c>
      <c r="HA37" s="61" t="str">
        <f t="shared" si="42"/>
        <v/>
      </c>
      <c r="HB37" s="61" t="str">
        <f t="shared" si="43"/>
        <v/>
      </c>
      <c r="HC37" s="61" t="str">
        <f t="shared" si="44"/>
        <v/>
      </c>
      <c r="HD37" s="61" t="str">
        <f t="shared" si="45"/>
        <v/>
      </c>
      <c r="HE37" s="61" t="str">
        <f t="shared" si="46"/>
        <v/>
      </c>
      <c r="HF37" s="61" t="str">
        <f t="shared" si="47"/>
        <v/>
      </c>
      <c r="HG37" s="61" t="str">
        <f t="shared" si="48"/>
        <v/>
      </c>
      <c r="HH37" s="61" t="str">
        <f t="shared" si="49"/>
        <v/>
      </c>
      <c r="HI37" s="61" t="str">
        <f t="shared" si="50"/>
        <v/>
      </c>
      <c r="HJ37" s="61" t="str">
        <f t="shared" si="51"/>
        <v/>
      </c>
      <c r="HK37" s="61" t="str">
        <f t="shared" si="52"/>
        <v/>
      </c>
      <c r="HL37" s="61" t="str">
        <f t="shared" si="53"/>
        <v/>
      </c>
      <c r="HM37" s="61" t="str">
        <f t="shared" si="54"/>
        <v/>
      </c>
      <c r="HN37" s="61" t="str">
        <f t="shared" si="55"/>
        <v/>
      </c>
      <c r="HO37" s="61" t="str">
        <f t="shared" si="56"/>
        <v/>
      </c>
      <c r="HP37" s="61" t="str">
        <f t="shared" si="57"/>
        <v/>
      </c>
      <c r="HQ37" s="61" t="str">
        <f t="shared" si="58"/>
        <v/>
      </c>
      <c r="HR37" s="61" t="str">
        <f t="shared" si="59"/>
        <v/>
      </c>
      <c r="HS37" s="61" t="str">
        <f t="shared" si="60"/>
        <v/>
      </c>
      <c r="HT37" s="61" t="str">
        <f t="shared" si="61"/>
        <v/>
      </c>
      <c r="HU37" s="61" t="str">
        <f t="shared" si="62"/>
        <v/>
      </c>
      <c r="HV37" s="61" t="str">
        <f t="shared" si="63"/>
        <v/>
      </c>
      <c r="HW37" s="61" t="str">
        <f t="shared" si="64"/>
        <v/>
      </c>
      <c r="HX37" s="61" t="str">
        <f t="shared" si="65"/>
        <v/>
      </c>
      <c r="HY37" s="61" t="str">
        <f t="shared" si="66"/>
        <v/>
      </c>
      <c r="HZ37" s="61" t="str">
        <f t="shared" si="67"/>
        <v/>
      </c>
    </row>
    <row r="38" ht="15.0" customHeight="1">
      <c r="A38" s="49" t="s">
        <v>625</v>
      </c>
      <c r="B38" s="80" t="s">
        <v>626</v>
      </c>
      <c r="C38" s="126" t="s">
        <v>627</v>
      </c>
      <c r="D38" s="80" t="s">
        <v>301</v>
      </c>
      <c r="E38" s="107">
        <f t="shared" si="3"/>
        <v>3</v>
      </c>
      <c r="F38" s="80" t="s">
        <v>209</v>
      </c>
      <c r="G38" s="80" t="s">
        <v>217</v>
      </c>
      <c r="H38" s="80">
        <v>2012.0</v>
      </c>
      <c r="I38" s="80" t="s">
        <v>217</v>
      </c>
      <c r="J38" s="80" t="s">
        <v>628</v>
      </c>
      <c r="Q38" s="61" t="b">
        <f t="shared" si="105"/>
        <v>1</v>
      </c>
      <c r="R38" s="61" t="b">
        <f t="shared" si="171"/>
        <v>1</v>
      </c>
      <c r="S38" s="80">
        <v>9.0</v>
      </c>
      <c r="T38" s="80">
        <v>8.0</v>
      </c>
      <c r="U38" s="80">
        <v>4.0</v>
      </c>
      <c r="V38" s="61" t="b">
        <f t="shared" si="172"/>
        <v>1</v>
      </c>
      <c r="W38" s="80">
        <v>9.0</v>
      </c>
      <c r="X38" s="80">
        <v>8.0</v>
      </c>
      <c r="Y38" s="80">
        <v>9.0</v>
      </c>
      <c r="Z38" s="115" t="s">
        <v>629</v>
      </c>
      <c r="AC38" s="127"/>
      <c r="AR38" s="74"/>
      <c r="AS38" s="74"/>
      <c r="AT38" s="73" t="s">
        <v>217</v>
      </c>
      <c r="AU38" s="74"/>
      <c r="AV38" s="74"/>
      <c r="AW38" s="74"/>
      <c r="AX38" s="74"/>
      <c r="AY38" s="74"/>
      <c r="AZ38" s="74"/>
      <c r="BA38" s="74"/>
      <c r="BB38" s="109" t="str">
        <f t="shared" si="106"/>
        <v>ERR</v>
      </c>
      <c r="BC38" s="73" t="s">
        <v>217</v>
      </c>
      <c r="BD38" s="73" t="s">
        <v>217</v>
      </c>
      <c r="BE38" s="74"/>
      <c r="BF38" s="73" t="s">
        <v>217</v>
      </c>
      <c r="BG38" s="73" t="s">
        <v>217</v>
      </c>
      <c r="BH38" s="73" t="s">
        <v>217</v>
      </c>
      <c r="BI38" s="74"/>
      <c r="BJ38" s="74"/>
      <c r="BK38" s="74"/>
      <c r="BL38" s="74"/>
      <c r="BM38" s="74"/>
      <c r="BN38" s="74"/>
      <c r="BO38" s="74"/>
      <c r="BP38" s="74"/>
      <c r="BQ38" s="73" t="s">
        <v>217</v>
      </c>
      <c r="BR38" s="74"/>
      <c r="BS38" s="74"/>
      <c r="BT38" s="74"/>
      <c r="BU38" s="74"/>
      <c r="BV38" s="73" t="s">
        <v>217</v>
      </c>
      <c r="BW38" s="73" t="s">
        <v>217</v>
      </c>
      <c r="BX38" s="73" t="s">
        <v>217</v>
      </c>
      <c r="BY38" s="74"/>
      <c r="BZ38" s="74"/>
      <c r="CA38" s="74"/>
      <c r="CB38" s="74"/>
      <c r="CC38" s="74"/>
      <c r="CD38" s="74"/>
      <c r="CE38" s="73" t="s">
        <v>217</v>
      </c>
      <c r="CF38" s="73" t="s">
        <v>630</v>
      </c>
      <c r="CG38" s="73" t="s">
        <v>217</v>
      </c>
      <c r="CH38" s="74"/>
      <c r="CI38" s="110" t="str">
        <f t="shared" si="141"/>
        <v/>
      </c>
      <c r="CJ38" s="74"/>
      <c r="CK38" s="73" t="s">
        <v>217</v>
      </c>
      <c r="CL38" s="73" t="s">
        <v>217</v>
      </c>
      <c r="CM38" s="73" t="s">
        <v>217</v>
      </c>
      <c r="CN38" s="73" t="s">
        <v>217</v>
      </c>
      <c r="CO38" s="74"/>
      <c r="CP38" s="74"/>
      <c r="CQ38" s="73" t="s">
        <v>217</v>
      </c>
      <c r="CS38" s="80" t="s">
        <v>217</v>
      </c>
      <c r="CX38" s="80" t="s">
        <v>217</v>
      </c>
      <c r="CY38" s="80" t="s">
        <v>217</v>
      </c>
      <c r="CZ38" s="80" t="s">
        <v>217</v>
      </c>
      <c r="DE38" s="80" t="s">
        <v>217</v>
      </c>
      <c r="DG38" s="61">
        <f t="shared" si="108"/>
        <v>4</v>
      </c>
      <c r="DL38" s="80" t="s">
        <v>217</v>
      </c>
      <c r="DN38" s="80" t="s">
        <v>217</v>
      </c>
      <c r="DO38" s="80" t="s">
        <v>217</v>
      </c>
      <c r="DP38" s="61" t="str">
        <f t="shared" si="109"/>
        <v>both</v>
      </c>
      <c r="DQ38" s="61" t="str">
        <f t="shared" si="110"/>
        <v/>
      </c>
      <c r="DR38" s="61" t="str">
        <f t="shared" si="111"/>
        <v/>
      </c>
      <c r="DS38" s="74"/>
      <c r="DT38" s="74"/>
      <c r="DU38" s="74"/>
      <c r="DV38" s="74"/>
      <c r="DW38" s="73" t="s">
        <v>217</v>
      </c>
      <c r="DY38" s="110">
        <f t="shared" si="29"/>
        <v>1</v>
      </c>
      <c r="DZ38" s="110" t="str">
        <f t="shared" si="173"/>
        <v/>
      </c>
      <c r="EA38" s="74"/>
      <c r="EB38" s="74"/>
      <c r="EC38" s="74"/>
      <c r="ED38" s="74"/>
      <c r="EE38" s="110">
        <f t="shared" si="30"/>
        <v>0</v>
      </c>
      <c r="EF38" s="110" t="str">
        <f t="shared" si="70"/>
        <v/>
      </c>
      <c r="EG38" s="61" t="str">
        <f t="shared" si="31"/>
        <v/>
      </c>
      <c r="EI38" s="80" t="s">
        <v>631</v>
      </c>
      <c r="EJ38" s="74"/>
      <c r="EK38" s="74"/>
      <c r="EL38" s="74"/>
      <c r="EM38" s="74"/>
      <c r="ES38" s="80" t="s">
        <v>632</v>
      </c>
      <c r="ET38" s="73">
        <v>3.0</v>
      </c>
      <c r="EU38" s="74"/>
      <c r="EV38" s="74"/>
      <c r="EW38" s="74"/>
      <c r="EX38" s="74"/>
      <c r="EZ38" s="80" t="s">
        <v>633</v>
      </c>
      <c r="FA38" s="80" t="s">
        <v>634</v>
      </c>
      <c r="FD38" s="80" t="s">
        <v>635</v>
      </c>
      <c r="FE38" s="97">
        <f t="shared" si="32"/>
        <v>2</v>
      </c>
      <c r="FF38" s="80">
        <v>1.0</v>
      </c>
      <c r="FG38" s="80">
        <v>1.0</v>
      </c>
      <c r="FH38" s="80">
        <v>1.0</v>
      </c>
      <c r="FI38" s="61">
        <f t="shared" ref="FI38:FI40" si="174">sum(FF38:FH38)</f>
        <v>3</v>
      </c>
      <c r="FJ38" s="80">
        <v>0.0</v>
      </c>
      <c r="FK38" s="80">
        <v>0.0</v>
      </c>
      <c r="FL38" s="80" t="s">
        <v>189</v>
      </c>
      <c r="FM38" s="61" t="str">
        <f t="shared" ref="FM38:FM40" si="175">if(GP38&lt;1000, "0", if(GP38&lt;10000, "0.5","1"))</f>
        <v>1</v>
      </c>
      <c r="FN38" s="61">
        <f t="shared" ref="FN38:FN39" si="176">sum(FJ38:FM38)</f>
        <v>0</v>
      </c>
      <c r="FP38" s="80" t="s">
        <v>217</v>
      </c>
      <c r="FS38" s="80" t="s">
        <v>217</v>
      </c>
      <c r="FV38" s="73" t="s">
        <v>217</v>
      </c>
      <c r="FX38" s="80" t="s">
        <v>217</v>
      </c>
      <c r="FY38" s="80" t="s">
        <v>217</v>
      </c>
      <c r="GB38" s="80" t="s">
        <v>217</v>
      </c>
      <c r="GI38" s="80" t="s">
        <v>217</v>
      </c>
      <c r="GL38" s="80" t="s">
        <v>636</v>
      </c>
      <c r="GM38" s="80" t="s">
        <v>217</v>
      </c>
      <c r="GN38" s="80">
        <v>7.0</v>
      </c>
      <c r="GO38" s="80" t="s">
        <v>637</v>
      </c>
      <c r="GP38" s="80">
        <v>13861.0</v>
      </c>
      <c r="GQ38" s="80" t="s">
        <v>638</v>
      </c>
      <c r="GS38" s="80" t="s">
        <v>217</v>
      </c>
      <c r="GU38" s="61" t="str">
        <f t="shared" si="36"/>
        <v/>
      </c>
      <c r="GV38" s="61" t="str">
        <f t="shared" si="37"/>
        <v/>
      </c>
      <c r="GW38" s="61" t="str">
        <f t="shared" si="38"/>
        <v>x</v>
      </c>
      <c r="GX38" s="61" t="str">
        <f t="shared" si="39"/>
        <v>x</v>
      </c>
      <c r="GY38" s="61" t="str">
        <f t="shared" si="40"/>
        <v>x</v>
      </c>
      <c r="GZ38" s="61" t="str">
        <f t="shared" si="41"/>
        <v/>
      </c>
      <c r="HA38" s="61" t="str">
        <f t="shared" si="42"/>
        <v/>
      </c>
      <c r="HB38" s="61" t="str">
        <f t="shared" si="43"/>
        <v/>
      </c>
      <c r="HC38" s="61" t="str">
        <f t="shared" si="44"/>
        <v/>
      </c>
      <c r="HD38" s="61" t="str">
        <f t="shared" si="45"/>
        <v>x</v>
      </c>
      <c r="HE38" s="61" t="str">
        <f t="shared" si="46"/>
        <v/>
      </c>
      <c r="HF38" s="61" t="str">
        <f t="shared" si="47"/>
        <v/>
      </c>
      <c r="HG38" s="61" t="str">
        <f t="shared" si="48"/>
        <v/>
      </c>
      <c r="HH38" s="61" t="str">
        <f t="shared" si="49"/>
        <v>x</v>
      </c>
      <c r="HI38" s="61" t="str">
        <f t="shared" si="50"/>
        <v>x</v>
      </c>
      <c r="HJ38" s="61" t="str">
        <f t="shared" si="51"/>
        <v>x</v>
      </c>
      <c r="HK38" s="61" t="str">
        <f t="shared" si="52"/>
        <v/>
      </c>
      <c r="HL38" s="61" t="str">
        <f t="shared" si="53"/>
        <v/>
      </c>
      <c r="HM38" s="61" t="str">
        <f t="shared" si="54"/>
        <v/>
      </c>
      <c r="HN38" s="61" t="str">
        <f t="shared" si="55"/>
        <v/>
      </c>
      <c r="HO38" s="61" t="str">
        <f t="shared" si="56"/>
        <v>x</v>
      </c>
      <c r="HP38" s="61" t="str">
        <f t="shared" si="57"/>
        <v/>
      </c>
      <c r="HQ38" s="61" t="str">
        <f t="shared" si="58"/>
        <v/>
      </c>
      <c r="HR38" s="61" t="str">
        <f t="shared" si="59"/>
        <v/>
      </c>
      <c r="HS38" s="61" t="str">
        <f t="shared" si="60"/>
        <v>x</v>
      </c>
      <c r="HT38" s="61" t="str">
        <f t="shared" si="61"/>
        <v/>
      </c>
      <c r="HU38" s="61" t="str">
        <f t="shared" si="62"/>
        <v/>
      </c>
      <c r="HV38" s="61" t="str">
        <f t="shared" si="63"/>
        <v/>
      </c>
      <c r="HW38" s="61" t="str">
        <f t="shared" si="64"/>
        <v/>
      </c>
      <c r="HX38" s="61" t="str">
        <f t="shared" si="65"/>
        <v/>
      </c>
      <c r="HY38" s="61" t="str">
        <f t="shared" si="66"/>
        <v/>
      </c>
      <c r="HZ38" s="61" t="str">
        <f t="shared" si="67"/>
        <v/>
      </c>
    </row>
    <row r="39" ht="1.5" customHeight="1">
      <c r="A39" s="49" t="s">
        <v>639</v>
      </c>
      <c r="B39" s="143" t="s">
        <v>640</v>
      </c>
      <c r="C39" s="113" t="s">
        <v>641</v>
      </c>
      <c r="D39" s="80" t="s">
        <v>209</v>
      </c>
      <c r="E39" s="107">
        <f t="shared" si="3"/>
        <v>2</v>
      </c>
      <c r="F39" s="80" t="s">
        <v>245</v>
      </c>
      <c r="G39" s="80" t="s">
        <v>211</v>
      </c>
      <c r="H39" s="80">
        <v>2010.0</v>
      </c>
      <c r="J39" s="114" t="s">
        <v>642</v>
      </c>
      <c r="K39" s="61" t="str">
        <f t="shared" ref="K39:K44" si="177">if(AND(D39="Aysu", F39="Vahid"), 1, "")</f>
        <v/>
      </c>
      <c r="L39" s="61">
        <f t="shared" ref="L39:L44" si="178">if(AND(D39="Aysu", F39="Ali"), 1, "")</f>
        <v>1</v>
      </c>
      <c r="M39" s="61" t="str">
        <f t="shared" ref="M39:M44" si="179">if(AND(D39="Vahid", F39="Aysu"), 1, "")</f>
        <v/>
      </c>
      <c r="N39" s="61" t="str">
        <f t="shared" ref="N39:N44" si="180">if(AND(D39="Vahid", F39="Ali"), 1, "")</f>
        <v/>
      </c>
      <c r="O39" s="61" t="str">
        <f t="shared" ref="O39:O44" si="181">if(AND(D39="Ali", F39="Vahid"), 1, "")</f>
        <v/>
      </c>
      <c r="P39" s="61" t="str">
        <f t="shared" ref="P39:P44" si="182">if(AND(D39="Ali", F39="Aysu"), 1, "")</f>
        <v/>
      </c>
      <c r="Q39" s="61" t="b">
        <f t="shared" si="105"/>
        <v>1</v>
      </c>
      <c r="R39" s="61" t="b">
        <f t="shared" ref="R39:R44" si="183">SUM(S39:U39)&gt;=2</f>
        <v>1</v>
      </c>
      <c r="S39" s="80">
        <v>1.0</v>
      </c>
      <c r="T39" s="80">
        <v>1.0</v>
      </c>
      <c r="U39" s="80">
        <v>1.0</v>
      </c>
      <c r="V39" s="61" t="b">
        <f t="shared" ref="V39:V44" si="184">SUM(W39:Y39)&gt;=2</f>
        <v>1</v>
      </c>
      <c r="W39" s="80">
        <v>1.0</v>
      </c>
      <c r="X39" s="80">
        <v>1.0</v>
      </c>
      <c r="Y39" s="80">
        <v>1.0</v>
      </c>
      <c r="AA39" s="61" t="str">
        <f t="shared" ref="AA39:AA44" si="185">iferror(if(find("Pollock", AC39)&gt;0,concat(J39,", "), ""))</f>
        <v/>
      </c>
      <c r="AB39" s="61" t="str">
        <f t="shared" ref="AB39:AB44" si="186">if(GI39="x",concat(J39,", "), "")</f>
        <v/>
      </c>
      <c r="AC39" s="114" t="s">
        <v>643</v>
      </c>
      <c r="AD39" s="80" t="s">
        <v>387</v>
      </c>
      <c r="AE39" s="114" t="s">
        <v>217</v>
      </c>
      <c r="AF39" s="80">
        <v>1.0</v>
      </c>
      <c r="AG39" s="114" t="s">
        <v>450</v>
      </c>
      <c r="AH39" s="61">
        <f t="shared" ref="AH39:AH44" si="187">countif({},AG39)</f>
        <v>0</v>
      </c>
      <c r="AI39" s="80" t="s">
        <v>250</v>
      </c>
      <c r="AJ39" s="80">
        <v>6.0</v>
      </c>
      <c r="AK39" s="108">
        <f t="shared" ref="AK39:AK44" si="188">AJ39/(2012-H39)</f>
        <v>3</v>
      </c>
      <c r="AL39" s="61" t="str">
        <f t="shared" ref="AL39:AL44" si="189">if(AI39="J",AJ39,"")</f>
        <v/>
      </c>
      <c r="AM39" s="61">
        <f t="shared" ref="AM39:AM44" si="190">if(AI39="C",AJ39,"")</f>
        <v>6</v>
      </c>
      <c r="AN39" s="61" t="str">
        <f t="shared" ref="AN39:AN44" si="191">if(AI39="W", AJ39,"")</f>
        <v/>
      </c>
      <c r="AO39" s="61" t="str">
        <f t="shared" ref="AO39:AO44" si="192">if(AI39="M",AJ39,"")</f>
        <v/>
      </c>
      <c r="AP39" s="61" t="str">
        <f t="shared" ref="AP39:AP44" si="193">if(AI39="S",AJ39,"")</f>
        <v/>
      </c>
      <c r="AQ39" s="61" t="str">
        <f t="shared" ref="AQ39:AQ44" si="194">if(BH39="x",concat(J39,", "), "")</f>
        <v/>
      </c>
      <c r="AR39" s="74"/>
      <c r="AS39" s="74"/>
      <c r="AT39" s="74"/>
      <c r="AU39" s="74"/>
      <c r="AV39" s="73" t="s">
        <v>217</v>
      </c>
      <c r="AW39" s="74"/>
      <c r="AX39" s="74"/>
      <c r="AY39" s="74"/>
      <c r="AZ39" s="74"/>
      <c r="BA39" s="74"/>
      <c r="BB39" s="109" t="str">
        <f t="shared" si="106"/>
        <v/>
      </c>
      <c r="BC39" s="73" t="s">
        <v>217</v>
      </c>
      <c r="BD39" s="73" t="s">
        <v>217</v>
      </c>
      <c r="BE39" s="73" t="s">
        <v>217</v>
      </c>
      <c r="BF39" s="74"/>
      <c r="BG39" s="74"/>
      <c r="BH39" s="74"/>
      <c r="BI39" s="110">
        <f t="shared" ref="BI39:BI44" si="195">COUNTA(BC39:BH39)</f>
        <v>3</v>
      </c>
      <c r="BJ39" s="73" t="s">
        <v>217</v>
      </c>
      <c r="BK39" s="74"/>
      <c r="BL39" s="74"/>
      <c r="BM39" s="74"/>
      <c r="BN39" s="73" t="s">
        <v>218</v>
      </c>
      <c r="BO39" s="74"/>
      <c r="BP39" s="73" t="s">
        <v>217</v>
      </c>
      <c r="BQ39" s="74"/>
      <c r="BR39" s="74"/>
      <c r="BS39" s="74"/>
      <c r="BT39" s="74"/>
      <c r="BU39" s="74"/>
      <c r="BV39" s="74"/>
      <c r="BW39" s="73" t="s">
        <v>217</v>
      </c>
      <c r="BX39" s="74"/>
      <c r="BY39" s="74"/>
      <c r="BZ39" s="74"/>
      <c r="CA39" s="74"/>
      <c r="CB39" s="74"/>
      <c r="CC39" s="74"/>
      <c r="CD39" s="74"/>
      <c r="CE39" s="73" t="s">
        <v>217</v>
      </c>
      <c r="CF39" s="73" t="s">
        <v>644</v>
      </c>
      <c r="CG39" s="74"/>
      <c r="CH39" s="73" t="s">
        <v>217</v>
      </c>
      <c r="CI39" s="111" t="str">
        <f t="shared" si="141"/>
        <v/>
      </c>
      <c r="CJ39" s="110">
        <f t="shared" ref="CJ39:CJ44" si="196">if(CG39="x", 1, if(CH39="x", 2, 3))</f>
        <v>2</v>
      </c>
      <c r="CK39" s="74"/>
      <c r="CL39" s="73" t="s">
        <v>217</v>
      </c>
      <c r="CM39" s="74"/>
      <c r="CN39" s="74"/>
      <c r="CO39" s="73" t="s">
        <v>217</v>
      </c>
      <c r="CP39" s="74"/>
      <c r="CQ39" s="74"/>
      <c r="DB39" s="80" t="s">
        <v>217</v>
      </c>
      <c r="DG39" s="61">
        <f t="shared" si="108"/>
        <v>1</v>
      </c>
      <c r="DJ39" s="80" t="s">
        <v>217</v>
      </c>
      <c r="DM39" s="61">
        <f t="shared" ref="DM39:DM44" si="197">counta(DH39:DL39)</f>
        <v>1</v>
      </c>
      <c r="DN39" s="80" t="s">
        <v>217</v>
      </c>
      <c r="DO39" s="80" t="s">
        <v>217</v>
      </c>
      <c r="DP39" s="61" t="str">
        <f t="shared" si="109"/>
        <v>both</v>
      </c>
      <c r="DQ39" s="61" t="str">
        <f t="shared" si="110"/>
        <v/>
      </c>
      <c r="DR39" s="61" t="str">
        <f t="shared" si="111"/>
        <v/>
      </c>
      <c r="DS39" s="74"/>
      <c r="DT39" s="74"/>
      <c r="DU39" s="74"/>
      <c r="DV39" s="74"/>
      <c r="DW39" s="74"/>
      <c r="DX39" s="74"/>
      <c r="DY39" s="110">
        <f t="shared" si="29"/>
        <v>0</v>
      </c>
      <c r="DZ39" s="74"/>
      <c r="EA39" s="73" t="s">
        <v>217</v>
      </c>
      <c r="EB39" s="74"/>
      <c r="EC39" s="74"/>
      <c r="ED39" s="74"/>
      <c r="EE39" s="110">
        <f t="shared" si="30"/>
        <v>1</v>
      </c>
      <c r="EF39" s="110" t="str">
        <f t="shared" si="70"/>
        <v/>
      </c>
      <c r="EG39" s="61" t="str">
        <f t="shared" si="31"/>
        <v/>
      </c>
      <c r="EI39" s="80" t="s">
        <v>645</v>
      </c>
      <c r="EJ39" s="74"/>
      <c r="EK39" s="74"/>
      <c r="EL39" s="74"/>
      <c r="EM39" s="74"/>
      <c r="ES39" s="80" t="s">
        <v>646</v>
      </c>
      <c r="ET39" s="73">
        <v>0.0</v>
      </c>
      <c r="EU39" s="74"/>
      <c r="EV39" s="74"/>
      <c r="EW39" s="74"/>
      <c r="EX39" s="74"/>
      <c r="EZ39" s="80" t="s">
        <v>647</v>
      </c>
      <c r="FE39" s="97">
        <f t="shared" si="32"/>
        <v>0</v>
      </c>
      <c r="FF39" s="80">
        <v>0.5</v>
      </c>
      <c r="FG39" s="80">
        <v>0.5</v>
      </c>
      <c r="FH39" s="80">
        <v>0.5</v>
      </c>
      <c r="FI39" s="61">
        <f t="shared" si="174"/>
        <v>1.5</v>
      </c>
      <c r="FJ39" s="80">
        <v>1.0</v>
      </c>
      <c r="FK39" s="80">
        <v>0.0</v>
      </c>
      <c r="FL39" s="80" t="s">
        <v>189</v>
      </c>
      <c r="FM39" s="61" t="str">
        <f t="shared" si="175"/>
        <v>1</v>
      </c>
      <c r="FN39" s="61">
        <f t="shared" si="176"/>
        <v>1</v>
      </c>
      <c r="FP39" s="80" t="s">
        <v>217</v>
      </c>
      <c r="FQ39" s="61" t="str">
        <f t="shared" ref="FQ39:FQ44" si="198">if(and(FO39="",FP39=""), "both", "")</f>
        <v/>
      </c>
      <c r="FR39" s="80" t="s">
        <v>217</v>
      </c>
      <c r="FT39" s="61" t="str">
        <f t="shared" ref="FT39:FT41" si="199">if(and(FS39="x",FR39="x"), "both", "")</f>
        <v/>
      </c>
      <c r="FU39" s="61" t="str">
        <f t="shared" ref="FU39:FU41" si="200">if(and(FR39="",FS39=""), "none", "")</f>
        <v/>
      </c>
      <c r="FV39" s="73" t="s">
        <v>217</v>
      </c>
      <c r="FZ39" s="80" t="s">
        <v>217</v>
      </c>
      <c r="GC39" s="80" t="s">
        <v>217</v>
      </c>
      <c r="GL39" s="80" t="s">
        <v>648</v>
      </c>
      <c r="GN39" s="80">
        <v>3.0</v>
      </c>
      <c r="GO39" s="80" t="s">
        <v>649</v>
      </c>
      <c r="GP39" s="112">
        <v>601000.0</v>
      </c>
      <c r="GQ39" s="80" t="s">
        <v>650</v>
      </c>
      <c r="GS39" s="80" t="s">
        <v>483</v>
      </c>
      <c r="GU39" s="61" t="str">
        <f t="shared" si="36"/>
        <v/>
      </c>
      <c r="GV39" s="61" t="str">
        <f t="shared" si="37"/>
        <v/>
      </c>
      <c r="GW39" s="61" t="str">
        <f t="shared" si="38"/>
        <v/>
      </c>
      <c r="GX39" s="61" t="str">
        <f t="shared" si="39"/>
        <v/>
      </c>
      <c r="GY39" s="61" t="str">
        <f t="shared" si="40"/>
        <v/>
      </c>
      <c r="GZ39" s="61" t="str">
        <f t="shared" si="41"/>
        <v/>
      </c>
      <c r="HA39" s="61" t="str">
        <f t="shared" si="42"/>
        <v/>
      </c>
      <c r="HB39" s="61" t="str">
        <f t="shared" si="43"/>
        <v/>
      </c>
      <c r="HC39" s="61" t="str">
        <f t="shared" si="44"/>
        <v/>
      </c>
      <c r="HD39" s="61" t="str">
        <f t="shared" si="45"/>
        <v/>
      </c>
      <c r="HE39" s="61" t="str">
        <f t="shared" si="46"/>
        <v/>
      </c>
      <c r="HF39" s="61" t="str">
        <f t="shared" si="47"/>
        <v/>
      </c>
      <c r="HG39" s="61" t="str">
        <f t="shared" si="48"/>
        <v/>
      </c>
      <c r="HH39" s="61" t="str">
        <f t="shared" si="49"/>
        <v/>
      </c>
      <c r="HI39" s="61" t="str">
        <f t="shared" si="50"/>
        <v/>
      </c>
      <c r="HJ39" s="61" t="str">
        <f t="shared" si="51"/>
        <v/>
      </c>
      <c r="HK39" s="61" t="str">
        <f t="shared" si="52"/>
        <v/>
      </c>
      <c r="HL39" s="61" t="str">
        <f t="shared" si="53"/>
        <v/>
      </c>
      <c r="HM39" s="61" t="str">
        <f t="shared" si="54"/>
        <v/>
      </c>
      <c r="HN39" s="61" t="str">
        <f t="shared" si="55"/>
        <v/>
      </c>
      <c r="HO39" s="61" t="str">
        <f t="shared" si="56"/>
        <v/>
      </c>
      <c r="HP39" s="61" t="str">
        <f t="shared" si="57"/>
        <v/>
      </c>
      <c r="HQ39" s="61" t="str">
        <f t="shared" si="58"/>
        <v/>
      </c>
      <c r="HR39" s="61" t="str">
        <f t="shared" si="59"/>
        <v/>
      </c>
      <c r="HS39" s="61" t="str">
        <f t="shared" si="60"/>
        <v/>
      </c>
      <c r="HT39" s="61" t="str">
        <f t="shared" si="61"/>
        <v/>
      </c>
      <c r="HU39" s="61" t="str">
        <f t="shared" si="62"/>
        <v>x</v>
      </c>
      <c r="HV39" s="61" t="str">
        <f t="shared" si="63"/>
        <v/>
      </c>
      <c r="HW39" s="61" t="str">
        <f t="shared" si="64"/>
        <v/>
      </c>
      <c r="HX39" s="61" t="str">
        <f t="shared" si="65"/>
        <v/>
      </c>
      <c r="HY39" s="61" t="str">
        <f t="shared" si="66"/>
        <v/>
      </c>
      <c r="HZ39" s="61" t="str">
        <f t="shared" si="67"/>
        <v/>
      </c>
    </row>
    <row r="40" ht="1.5" customHeight="1">
      <c r="A40" s="49" t="s">
        <v>651</v>
      </c>
      <c r="B40" s="80" t="s">
        <v>652</v>
      </c>
      <c r="C40" s="113" t="s">
        <v>653</v>
      </c>
      <c r="D40" s="80" t="s">
        <v>210</v>
      </c>
      <c r="E40" s="107">
        <f t="shared" si="3"/>
        <v>2</v>
      </c>
      <c r="F40" s="80" t="s">
        <v>209</v>
      </c>
      <c r="G40" s="80" t="s">
        <v>211</v>
      </c>
      <c r="H40" s="80">
        <v>2007.0</v>
      </c>
      <c r="J40" s="80" t="s">
        <v>654</v>
      </c>
      <c r="K40" s="61" t="str">
        <f t="shared" si="177"/>
        <v/>
      </c>
      <c r="L40" s="61" t="str">
        <f t="shared" si="178"/>
        <v/>
      </c>
      <c r="M40" s="61">
        <f t="shared" si="179"/>
        <v>1</v>
      </c>
      <c r="N40" s="61" t="str">
        <f t="shared" si="180"/>
        <v/>
      </c>
      <c r="O40" s="61" t="str">
        <f t="shared" si="181"/>
        <v/>
      </c>
      <c r="P40" s="61" t="str">
        <f t="shared" si="182"/>
        <v/>
      </c>
      <c r="Q40" s="61" t="b">
        <f t="shared" si="105"/>
        <v>1</v>
      </c>
      <c r="R40" s="61" t="b">
        <f t="shared" si="183"/>
        <v>1</v>
      </c>
      <c r="S40" s="80">
        <v>1.0</v>
      </c>
      <c r="T40" s="80">
        <v>1.0</v>
      </c>
      <c r="U40" s="80">
        <v>1.0</v>
      </c>
      <c r="V40" s="61" t="b">
        <f t="shared" si="184"/>
        <v>1</v>
      </c>
      <c r="W40" s="80">
        <v>1.0</v>
      </c>
      <c r="X40" s="80">
        <v>1.0</v>
      </c>
      <c r="Y40" s="80">
        <v>1.0</v>
      </c>
      <c r="AA40" s="61" t="str">
        <f t="shared" si="185"/>
        <v/>
      </c>
      <c r="AB40" s="61" t="str">
        <f t="shared" si="186"/>
        <v/>
      </c>
      <c r="AC40" s="114" t="s">
        <v>655</v>
      </c>
      <c r="AD40" s="80" t="s">
        <v>214</v>
      </c>
      <c r="AF40" s="61">
        <f>countif('Charts-SLR'!A:A,AD40)</f>
        <v>1</v>
      </c>
      <c r="AG40" s="80" t="s">
        <v>215</v>
      </c>
      <c r="AH40" s="61">
        <f t="shared" si="187"/>
        <v>0</v>
      </c>
      <c r="AI40" s="80" t="s">
        <v>268</v>
      </c>
      <c r="AJ40" s="80">
        <v>14.0</v>
      </c>
      <c r="AK40" s="108">
        <f t="shared" si="188"/>
        <v>2.8</v>
      </c>
      <c r="AL40" s="61" t="str">
        <f t="shared" si="189"/>
        <v/>
      </c>
      <c r="AM40" s="61" t="str">
        <f t="shared" si="190"/>
        <v/>
      </c>
      <c r="AN40" s="61" t="str">
        <f t="shared" si="191"/>
        <v/>
      </c>
      <c r="AO40" s="61" t="str">
        <f t="shared" si="192"/>
        <v/>
      </c>
      <c r="AP40" s="61">
        <f t="shared" si="193"/>
        <v>14</v>
      </c>
      <c r="AQ40" s="61" t="str">
        <f t="shared" si="194"/>
        <v>Marchetto:wse07, </v>
      </c>
      <c r="AR40" s="74"/>
      <c r="AS40" s="74"/>
      <c r="AT40" s="74"/>
      <c r="AU40" s="74"/>
      <c r="AV40" s="74"/>
      <c r="AW40" s="74"/>
      <c r="AX40" s="74"/>
      <c r="AY40" s="74"/>
      <c r="AZ40" s="73" t="s">
        <v>217</v>
      </c>
      <c r="BA40" s="74"/>
      <c r="BB40" s="109" t="str">
        <f t="shared" si="106"/>
        <v/>
      </c>
      <c r="BC40" s="74"/>
      <c r="BD40" s="74"/>
      <c r="BE40" s="74"/>
      <c r="BF40" s="74"/>
      <c r="BG40" s="74"/>
      <c r="BH40" s="73" t="s">
        <v>217</v>
      </c>
      <c r="BI40" s="110">
        <f t="shared" si="195"/>
        <v>1</v>
      </c>
      <c r="BJ40" s="74"/>
      <c r="BK40" s="74"/>
      <c r="BL40" s="74"/>
      <c r="BM40" s="74"/>
      <c r="BN40" s="74"/>
      <c r="BO40" s="74"/>
      <c r="BP40" s="73" t="s">
        <v>217</v>
      </c>
      <c r="BQ40" s="74"/>
      <c r="BR40" s="74"/>
      <c r="BS40" s="74"/>
      <c r="BT40" s="74"/>
      <c r="BU40" s="74"/>
      <c r="BV40" s="73" t="s">
        <v>217</v>
      </c>
      <c r="BW40" s="74"/>
      <c r="BX40" s="74"/>
      <c r="BY40" s="73" t="s">
        <v>217</v>
      </c>
      <c r="BZ40" s="74"/>
      <c r="CA40" s="74"/>
      <c r="CB40" s="74"/>
      <c r="CC40" s="74"/>
      <c r="CD40" s="74"/>
      <c r="CE40" s="73" t="s">
        <v>217</v>
      </c>
      <c r="CF40" s="73" t="s">
        <v>656</v>
      </c>
      <c r="CG40" s="73" t="s">
        <v>217</v>
      </c>
      <c r="CH40" s="73" t="s">
        <v>217</v>
      </c>
      <c r="CI40" s="73" t="s">
        <v>217</v>
      </c>
      <c r="CJ40" s="110">
        <f t="shared" si="196"/>
        <v>1</v>
      </c>
      <c r="CK40" s="73" t="s">
        <v>217</v>
      </c>
      <c r="CL40" s="73" t="s">
        <v>217</v>
      </c>
      <c r="CM40" s="73" t="s">
        <v>217</v>
      </c>
      <c r="CN40" s="74"/>
      <c r="CO40" s="74"/>
      <c r="CP40" s="74"/>
      <c r="CQ40" s="74"/>
      <c r="DG40" s="61">
        <f t="shared" si="108"/>
        <v>0</v>
      </c>
      <c r="DM40" s="61">
        <f t="shared" si="197"/>
        <v>0</v>
      </c>
      <c r="DP40" s="61" t="str">
        <f t="shared" si="109"/>
        <v/>
      </c>
      <c r="DQ40" s="61" t="str">
        <f t="shared" si="110"/>
        <v/>
      </c>
      <c r="DR40" s="61" t="str">
        <f t="shared" si="111"/>
        <v/>
      </c>
      <c r="DS40" s="74"/>
      <c r="DT40" s="74"/>
      <c r="DU40" s="74"/>
      <c r="DV40" s="74"/>
      <c r="DW40" s="74"/>
      <c r="DX40" s="74"/>
      <c r="DY40" s="110">
        <f t="shared" si="29"/>
        <v>0</v>
      </c>
      <c r="DZ40" s="74"/>
      <c r="EA40" s="74"/>
      <c r="EB40" s="74"/>
      <c r="EC40" s="74"/>
      <c r="ED40" s="74"/>
      <c r="EE40" s="110">
        <f t="shared" si="30"/>
        <v>0</v>
      </c>
      <c r="EF40" s="110" t="str">
        <f t="shared" si="70"/>
        <v/>
      </c>
      <c r="EG40" s="61" t="str">
        <f t="shared" si="31"/>
        <v/>
      </c>
      <c r="EI40" s="80" t="s">
        <v>657</v>
      </c>
      <c r="EJ40" s="74"/>
      <c r="EK40" s="74"/>
      <c r="EL40" s="74"/>
      <c r="EM40" s="74"/>
      <c r="EN40" s="80" t="s">
        <v>217</v>
      </c>
      <c r="ES40" s="80" t="s">
        <v>658</v>
      </c>
      <c r="ET40" s="73">
        <v>4.0</v>
      </c>
      <c r="EU40" s="74"/>
      <c r="EV40" s="74"/>
      <c r="EW40" s="74"/>
      <c r="EX40" s="74"/>
      <c r="EZ40" s="80" t="s">
        <v>659</v>
      </c>
      <c r="FA40" s="80" t="s">
        <v>660</v>
      </c>
      <c r="FB40" s="80" t="s">
        <v>661</v>
      </c>
      <c r="FC40" s="80" t="s">
        <v>662</v>
      </c>
      <c r="FD40" s="80" t="s">
        <v>663</v>
      </c>
      <c r="FE40" s="97">
        <f t="shared" si="32"/>
        <v>4</v>
      </c>
      <c r="FF40" s="80">
        <v>1.0</v>
      </c>
      <c r="FG40" s="80">
        <v>1.0</v>
      </c>
      <c r="FH40" s="80">
        <v>1.0</v>
      </c>
      <c r="FI40" s="61">
        <f t="shared" si="174"/>
        <v>3</v>
      </c>
      <c r="FJ40" s="80">
        <v>0.0</v>
      </c>
      <c r="FK40" s="80">
        <v>0.0</v>
      </c>
      <c r="FL40" s="80">
        <v>1.0</v>
      </c>
      <c r="FM40" s="61" t="str">
        <f t="shared" si="175"/>
        <v>0.5</v>
      </c>
      <c r="FN40" s="61">
        <f>SUM.LEGACY(FJ40:FM40)</f>
        <v>1.5</v>
      </c>
      <c r="FP40" s="80" t="s">
        <v>217</v>
      </c>
      <c r="FQ40" s="61" t="str">
        <f t="shared" si="198"/>
        <v/>
      </c>
      <c r="FR40" s="80" t="s">
        <v>217</v>
      </c>
      <c r="FT40" s="61" t="str">
        <f t="shared" si="199"/>
        <v/>
      </c>
      <c r="FU40" s="61" t="str">
        <f t="shared" si="200"/>
        <v/>
      </c>
      <c r="FV40" s="73" t="s">
        <v>217</v>
      </c>
      <c r="FW40" s="80" t="s">
        <v>217</v>
      </c>
      <c r="FY40" s="80" t="s">
        <v>217</v>
      </c>
      <c r="GC40" s="80" t="s">
        <v>217</v>
      </c>
      <c r="GE40" s="80" t="s">
        <v>217</v>
      </c>
      <c r="GN40" s="80">
        <v>1.0</v>
      </c>
      <c r="GO40" s="80" t="s">
        <v>664</v>
      </c>
      <c r="GP40" s="112">
        <v>1529.0</v>
      </c>
      <c r="GQ40" s="80" t="s">
        <v>665</v>
      </c>
      <c r="GS40" s="80" t="s">
        <v>217</v>
      </c>
      <c r="GU40" s="61" t="str">
        <f t="shared" si="36"/>
        <v/>
      </c>
      <c r="GV40" s="61" t="str">
        <f t="shared" si="37"/>
        <v/>
      </c>
      <c r="GW40" s="61" t="str">
        <f t="shared" si="38"/>
        <v/>
      </c>
      <c r="GX40" s="61" t="str">
        <f t="shared" si="39"/>
        <v/>
      </c>
      <c r="GY40" s="61" t="str">
        <f t="shared" si="40"/>
        <v/>
      </c>
      <c r="GZ40" s="61" t="str">
        <f t="shared" si="41"/>
        <v/>
      </c>
      <c r="HA40" s="61" t="str">
        <f t="shared" si="42"/>
        <v/>
      </c>
      <c r="HB40" s="61" t="str">
        <f t="shared" si="43"/>
        <v/>
      </c>
      <c r="HC40" s="61" t="str">
        <f t="shared" si="44"/>
        <v/>
      </c>
      <c r="HD40" s="61" t="str">
        <f t="shared" si="45"/>
        <v/>
      </c>
      <c r="HE40" s="61" t="str">
        <f t="shared" si="46"/>
        <v/>
      </c>
      <c r="HF40" s="61" t="str">
        <f t="shared" si="47"/>
        <v/>
      </c>
      <c r="HG40" s="61" t="str">
        <f t="shared" si="48"/>
        <v/>
      </c>
      <c r="HH40" s="61" t="str">
        <f t="shared" si="49"/>
        <v/>
      </c>
      <c r="HI40" s="61" t="str">
        <f t="shared" si="50"/>
        <v/>
      </c>
      <c r="HJ40" s="61" t="str">
        <f t="shared" si="51"/>
        <v/>
      </c>
      <c r="HK40" s="61" t="str">
        <f t="shared" si="52"/>
        <v/>
      </c>
      <c r="HL40" s="61" t="str">
        <f t="shared" si="53"/>
        <v/>
      </c>
      <c r="HM40" s="61" t="str">
        <f t="shared" si="54"/>
        <v/>
      </c>
      <c r="HN40" s="61" t="str">
        <f t="shared" si="55"/>
        <v/>
      </c>
      <c r="HO40" s="61" t="str">
        <f t="shared" si="56"/>
        <v/>
      </c>
      <c r="HP40" s="61" t="str">
        <f t="shared" si="57"/>
        <v/>
      </c>
      <c r="HQ40" s="61" t="str">
        <f t="shared" si="58"/>
        <v/>
      </c>
      <c r="HR40" s="61" t="str">
        <f t="shared" si="59"/>
        <v/>
      </c>
      <c r="HS40" s="61" t="str">
        <f t="shared" si="60"/>
        <v/>
      </c>
      <c r="HT40" s="61" t="str">
        <f t="shared" si="61"/>
        <v/>
      </c>
      <c r="HU40" s="61" t="str">
        <f t="shared" si="62"/>
        <v/>
      </c>
      <c r="HV40" s="61" t="str">
        <f t="shared" si="63"/>
        <v/>
      </c>
      <c r="HW40" s="61" t="str">
        <f t="shared" si="64"/>
        <v/>
      </c>
      <c r="HX40" s="61" t="str">
        <f t="shared" si="65"/>
        <v/>
      </c>
      <c r="HY40" s="61" t="str">
        <f t="shared" si="66"/>
        <v/>
      </c>
      <c r="HZ40" s="61" t="str">
        <f t="shared" si="67"/>
        <v/>
      </c>
    </row>
    <row r="41" ht="1.5" customHeight="1">
      <c r="A41" s="49" t="s">
        <v>666</v>
      </c>
      <c r="B41" s="95" t="s">
        <v>667</v>
      </c>
      <c r="C41" s="117" t="s">
        <v>668</v>
      </c>
      <c r="D41" s="95" t="s">
        <v>209</v>
      </c>
      <c r="E41" s="96" t="str">
        <f t="shared" si="3"/>
        <v/>
      </c>
      <c r="F41" s="95" t="s">
        <v>210</v>
      </c>
      <c r="G41" s="95" t="s">
        <v>211</v>
      </c>
      <c r="H41" s="95">
        <v>2005.0</v>
      </c>
      <c r="I41" s="7"/>
      <c r="J41" s="95" t="s">
        <v>669</v>
      </c>
      <c r="K41" s="97">
        <f t="shared" si="177"/>
        <v>1</v>
      </c>
      <c r="L41" s="97" t="str">
        <f t="shared" si="178"/>
        <v/>
      </c>
      <c r="M41" s="97" t="str">
        <f t="shared" si="179"/>
        <v/>
      </c>
      <c r="N41" s="97" t="str">
        <f t="shared" si="180"/>
        <v/>
      </c>
      <c r="O41" s="97" t="str">
        <f t="shared" si="181"/>
        <v/>
      </c>
      <c r="P41" s="97" t="str">
        <f t="shared" si="182"/>
        <v/>
      </c>
      <c r="Q41" s="97" t="b">
        <f t="shared" si="105"/>
        <v>1</v>
      </c>
      <c r="R41" s="97" t="b">
        <f t="shared" si="183"/>
        <v>1</v>
      </c>
      <c r="S41" s="95">
        <v>1.0</v>
      </c>
      <c r="T41" s="95">
        <v>1.0</v>
      </c>
      <c r="U41" s="95">
        <v>1.0</v>
      </c>
      <c r="V41" s="97" t="b">
        <f t="shared" si="184"/>
        <v>1</v>
      </c>
      <c r="W41" s="95">
        <v>0.0</v>
      </c>
      <c r="X41" s="95">
        <v>1.0</v>
      </c>
      <c r="Y41" s="95">
        <v>1.0</v>
      </c>
      <c r="Z41" s="95" t="s">
        <v>670</v>
      </c>
      <c r="AA41" s="97" t="str">
        <f t="shared" si="185"/>
        <v/>
      </c>
      <c r="AB41" s="97" t="str">
        <f t="shared" si="186"/>
        <v/>
      </c>
      <c r="AC41" s="98" t="s">
        <v>671</v>
      </c>
      <c r="AD41" s="95" t="s">
        <v>464</v>
      </c>
      <c r="AE41" s="7"/>
      <c r="AF41" s="97">
        <f>countif('Charts-SLR'!A:A,AD41)</f>
        <v>1</v>
      </c>
      <c r="AG41" s="95" t="s">
        <v>591</v>
      </c>
      <c r="AH41" s="97">
        <f t="shared" si="187"/>
        <v>0</v>
      </c>
      <c r="AI41" s="95" t="s">
        <v>250</v>
      </c>
      <c r="AJ41" s="95">
        <v>3.0</v>
      </c>
      <c r="AK41" s="99">
        <f t="shared" si="188"/>
        <v>0.4285714286</v>
      </c>
      <c r="AL41" s="97" t="str">
        <f t="shared" si="189"/>
        <v/>
      </c>
      <c r="AM41" s="97">
        <f t="shared" si="190"/>
        <v>3</v>
      </c>
      <c r="AN41" s="97" t="str">
        <f t="shared" si="191"/>
        <v/>
      </c>
      <c r="AO41" s="97" t="str">
        <f t="shared" si="192"/>
        <v/>
      </c>
      <c r="AP41" s="97" t="str">
        <f t="shared" si="193"/>
        <v/>
      </c>
      <c r="AQ41" s="97" t="str">
        <f t="shared" si="194"/>
        <v/>
      </c>
      <c r="AR41" s="100"/>
      <c r="AS41" s="100"/>
      <c r="AT41" s="100"/>
      <c r="AU41" s="100"/>
      <c r="AV41" s="100"/>
      <c r="AW41" s="100"/>
      <c r="AX41" s="100"/>
      <c r="AY41" s="100"/>
      <c r="AZ41" s="100"/>
      <c r="BA41" s="100"/>
      <c r="BB41" s="101" t="str">
        <f t="shared" si="106"/>
        <v>ERR</v>
      </c>
      <c r="BC41" s="102" t="s">
        <v>217</v>
      </c>
      <c r="BD41" s="100"/>
      <c r="BE41" s="100"/>
      <c r="BF41" s="100"/>
      <c r="BG41" s="100"/>
      <c r="BH41" s="100"/>
      <c r="BI41" s="103">
        <f t="shared" si="195"/>
        <v>1</v>
      </c>
      <c r="BJ41" s="100"/>
      <c r="BK41" s="100"/>
      <c r="BL41" s="100"/>
      <c r="BM41" s="100"/>
      <c r="BN41" s="100"/>
      <c r="BO41" s="100"/>
      <c r="BP41" s="100"/>
      <c r="BQ41" s="100"/>
      <c r="BR41" s="102" t="s">
        <v>217</v>
      </c>
      <c r="BS41" s="100"/>
      <c r="BT41" s="100"/>
      <c r="BU41" s="74"/>
      <c r="BV41" s="102" t="s">
        <v>217</v>
      </c>
      <c r="BW41" s="100"/>
      <c r="BX41" s="100"/>
      <c r="BY41" s="100"/>
      <c r="BZ41" s="100"/>
      <c r="CA41" s="100"/>
      <c r="CB41" s="100"/>
      <c r="CC41" s="100"/>
      <c r="CD41" s="100"/>
      <c r="CE41" s="100"/>
      <c r="CF41" s="100"/>
      <c r="CG41" s="100"/>
      <c r="CH41" s="100"/>
      <c r="CI41" s="103" t="str">
        <f t="shared" ref="CI41:CI47" si="201">if(and(CG41="x",CH41="x"), "x", "")</f>
        <v/>
      </c>
      <c r="CJ41" s="103">
        <f t="shared" si="196"/>
        <v>3</v>
      </c>
      <c r="CK41" s="102" t="s">
        <v>217</v>
      </c>
      <c r="CL41" s="100"/>
      <c r="CM41" s="100"/>
      <c r="CN41" s="100"/>
      <c r="CO41" s="100"/>
      <c r="CP41" s="100"/>
      <c r="CQ41" s="100"/>
      <c r="CR41" s="7"/>
      <c r="CS41" s="7"/>
      <c r="CT41" s="7"/>
      <c r="CU41" s="7"/>
      <c r="CV41" s="7"/>
      <c r="CW41" s="7"/>
      <c r="CX41" s="7"/>
      <c r="CY41" s="7"/>
      <c r="CZ41" s="7"/>
      <c r="DA41" s="7"/>
      <c r="DB41" s="7"/>
      <c r="DC41" s="7"/>
      <c r="DD41" s="7"/>
      <c r="DE41" s="7"/>
      <c r="DF41" s="7"/>
      <c r="DG41" s="97">
        <f t="shared" si="108"/>
        <v>0</v>
      </c>
      <c r="DH41" s="7"/>
      <c r="DI41" s="7"/>
      <c r="DJ41" s="7"/>
      <c r="DK41" s="7"/>
      <c r="DL41" s="7"/>
      <c r="DM41" s="97">
        <f t="shared" si="197"/>
        <v>0</v>
      </c>
      <c r="DN41" s="7"/>
      <c r="DO41" s="7"/>
      <c r="DP41" s="97" t="str">
        <f t="shared" si="109"/>
        <v/>
      </c>
      <c r="DQ41" s="97" t="str">
        <f t="shared" si="110"/>
        <v/>
      </c>
      <c r="DR41" s="97" t="str">
        <f t="shared" si="111"/>
        <v/>
      </c>
      <c r="DS41" s="100"/>
      <c r="DT41" s="100"/>
      <c r="DU41" s="100"/>
      <c r="DV41" s="100"/>
      <c r="DW41" s="100"/>
      <c r="DX41" s="100"/>
      <c r="DY41" s="103">
        <f t="shared" si="29"/>
        <v>0</v>
      </c>
      <c r="DZ41" s="100"/>
      <c r="EA41" s="100"/>
      <c r="EB41" s="100"/>
      <c r="EC41" s="100"/>
      <c r="ED41" s="100"/>
      <c r="EE41" s="103">
        <f t="shared" si="30"/>
        <v>0</v>
      </c>
      <c r="EF41" s="103" t="str">
        <f t="shared" si="70"/>
        <v/>
      </c>
      <c r="EG41" s="97" t="str">
        <f t="shared" si="31"/>
        <v/>
      </c>
      <c r="EH41" s="7"/>
      <c r="EI41" s="7"/>
      <c r="EJ41" s="100"/>
      <c r="EK41" s="100"/>
      <c r="EL41" s="100"/>
      <c r="EM41" s="100"/>
      <c r="EN41" s="7"/>
      <c r="EO41" s="7"/>
      <c r="EP41" s="7"/>
      <c r="EQ41" s="7"/>
      <c r="ER41" s="7"/>
      <c r="ES41" s="7"/>
      <c r="ET41" s="100"/>
      <c r="EU41" s="100"/>
      <c r="EV41" s="100"/>
      <c r="EW41" s="100"/>
      <c r="EX41" s="100"/>
      <c r="EY41" s="7"/>
      <c r="EZ41" s="7"/>
      <c r="FA41" s="7"/>
      <c r="FB41" s="7"/>
      <c r="FC41" s="7"/>
      <c r="FD41" s="7"/>
      <c r="FE41" s="97" t="str">
        <f t="shared" si="32"/>
        <v/>
      </c>
      <c r="FF41" s="7"/>
      <c r="FG41" s="7"/>
      <c r="FH41" s="7"/>
      <c r="FI41" s="7"/>
      <c r="FJ41" s="7"/>
      <c r="FK41" s="7"/>
      <c r="FL41" s="7"/>
      <c r="FM41" s="7"/>
      <c r="FN41" s="7"/>
      <c r="FO41" s="7"/>
      <c r="FP41" s="95" t="s">
        <v>217</v>
      </c>
      <c r="FQ41" s="97" t="str">
        <f t="shared" si="198"/>
        <v/>
      </c>
      <c r="FR41" s="95" t="s">
        <v>217</v>
      </c>
      <c r="FS41" s="7"/>
      <c r="FT41" s="97" t="str">
        <f t="shared" si="199"/>
        <v/>
      </c>
      <c r="FU41" s="97" t="str">
        <f t="shared" si="200"/>
        <v/>
      </c>
      <c r="FV41" s="100"/>
      <c r="FW41" s="7"/>
      <c r="FX41" s="7"/>
      <c r="FY41" s="7"/>
      <c r="FZ41" s="7"/>
      <c r="GA41" s="7"/>
      <c r="GB41" s="7"/>
      <c r="GC41" s="7"/>
      <c r="GD41" s="7"/>
      <c r="GE41" s="7"/>
      <c r="GF41" s="7"/>
      <c r="GG41" s="7"/>
      <c r="GH41" s="7"/>
      <c r="GI41" s="7"/>
      <c r="GJ41" s="7"/>
      <c r="GK41" s="7"/>
      <c r="GL41" s="7"/>
      <c r="GM41" s="7"/>
      <c r="GN41" s="7"/>
      <c r="GO41" s="7"/>
      <c r="GP41" s="121"/>
      <c r="GQ41" s="7"/>
      <c r="GR41" s="7"/>
      <c r="GS41" s="7"/>
      <c r="GT41" s="95" t="s">
        <v>217</v>
      </c>
      <c r="GU41" s="61" t="str">
        <f t="shared" si="36"/>
        <v/>
      </c>
      <c r="GV41" s="61" t="str">
        <f t="shared" si="37"/>
        <v/>
      </c>
      <c r="GW41" s="61" t="str">
        <f t="shared" si="38"/>
        <v/>
      </c>
      <c r="GX41" s="61" t="str">
        <f t="shared" si="39"/>
        <v/>
      </c>
      <c r="GY41" s="61" t="str">
        <f t="shared" si="40"/>
        <v/>
      </c>
      <c r="GZ41" s="61" t="str">
        <f t="shared" si="41"/>
        <v/>
      </c>
      <c r="HA41" s="61" t="str">
        <f t="shared" si="42"/>
        <v/>
      </c>
      <c r="HB41" s="61" t="str">
        <f t="shared" si="43"/>
        <v/>
      </c>
      <c r="HC41" s="61" t="str">
        <f t="shared" si="44"/>
        <v/>
      </c>
      <c r="HD41" s="61" t="str">
        <f t="shared" si="45"/>
        <v/>
      </c>
      <c r="HE41" s="61" t="str">
        <f t="shared" si="46"/>
        <v/>
      </c>
      <c r="HF41" s="61" t="str">
        <f t="shared" si="47"/>
        <v/>
      </c>
      <c r="HG41" s="61" t="str">
        <f t="shared" si="48"/>
        <v/>
      </c>
      <c r="HH41" s="61" t="str">
        <f t="shared" si="49"/>
        <v/>
      </c>
      <c r="HI41" s="61" t="str">
        <f t="shared" si="50"/>
        <v/>
      </c>
      <c r="HJ41" s="61" t="str">
        <f t="shared" si="51"/>
        <v/>
      </c>
      <c r="HK41" s="61" t="str">
        <f t="shared" si="52"/>
        <v/>
      </c>
      <c r="HL41" s="61" t="str">
        <f t="shared" si="53"/>
        <v/>
      </c>
      <c r="HM41" s="61" t="str">
        <f t="shared" si="54"/>
        <v/>
      </c>
      <c r="HN41" s="61" t="str">
        <f t="shared" si="55"/>
        <v/>
      </c>
      <c r="HO41" s="61" t="str">
        <f t="shared" si="56"/>
        <v/>
      </c>
      <c r="HP41" s="61" t="str">
        <f t="shared" si="57"/>
        <v/>
      </c>
      <c r="HQ41" s="61" t="str">
        <f t="shared" si="58"/>
        <v/>
      </c>
      <c r="HR41" s="61" t="str">
        <f t="shared" si="59"/>
        <v/>
      </c>
      <c r="HS41" s="61" t="str">
        <f t="shared" si="60"/>
        <v/>
      </c>
      <c r="HT41" s="61" t="str">
        <f t="shared" si="61"/>
        <v/>
      </c>
      <c r="HU41" s="61" t="str">
        <f t="shared" si="62"/>
        <v/>
      </c>
      <c r="HV41" s="61" t="str">
        <f t="shared" si="63"/>
        <v/>
      </c>
      <c r="HW41" s="61" t="str">
        <f t="shared" si="64"/>
        <v/>
      </c>
      <c r="HX41" s="61" t="str">
        <f t="shared" si="65"/>
        <v/>
      </c>
      <c r="HY41" s="61" t="str">
        <f t="shared" si="66"/>
        <v/>
      </c>
      <c r="HZ41" s="61" t="str">
        <f t="shared" si="67"/>
        <v/>
      </c>
    </row>
    <row r="42" ht="1.5" customHeight="1">
      <c r="A42" s="49" t="s">
        <v>672</v>
      </c>
      <c r="B42" s="80" t="s">
        <v>673</v>
      </c>
      <c r="C42" s="113" t="s">
        <v>674</v>
      </c>
      <c r="D42" s="80" t="s">
        <v>245</v>
      </c>
      <c r="E42" s="107">
        <f t="shared" si="3"/>
        <v>2</v>
      </c>
      <c r="F42" s="80" t="s">
        <v>210</v>
      </c>
      <c r="G42" s="80" t="s">
        <v>211</v>
      </c>
      <c r="H42" s="80">
        <v>2008.0</v>
      </c>
      <c r="J42" s="80" t="s">
        <v>675</v>
      </c>
      <c r="K42" s="61" t="str">
        <f t="shared" si="177"/>
        <v/>
      </c>
      <c r="L42" s="61" t="str">
        <f t="shared" si="178"/>
        <v/>
      </c>
      <c r="M42" s="61" t="str">
        <f t="shared" si="179"/>
        <v/>
      </c>
      <c r="N42" s="61" t="str">
        <f t="shared" si="180"/>
        <v/>
      </c>
      <c r="O42" s="61">
        <f t="shared" si="181"/>
        <v>1</v>
      </c>
      <c r="P42" s="61" t="str">
        <f t="shared" si="182"/>
        <v/>
      </c>
      <c r="Q42" s="61" t="b">
        <f t="shared" si="105"/>
        <v>1</v>
      </c>
      <c r="R42" s="61" t="b">
        <f t="shared" si="183"/>
        <v>1</v>
      </c>
      <c r="S42" s="80">
        <v>1.0</v>
      </c>
      <c r="T42" s="80">
        <v>1.0</v>
      </c>
      <c r="U42" s="80">
        <v>1.0</v>
      </c>
      <c r="V42" s="61" t="b">
        <f t="shared" si="184"/>
        <v>1</v>
      </c>
      <c r="W42" s="80">
        <v>1.0</v>
      </c>
      <c r="X42" s="80">
        <v>1.0</v>
      </c>
      <c r="Y42" s="80">
        <v>1.0</v>
      </c>
      <c r="AA42" s="61" t="str">
        <f t="shared" si="185"/>
        <v/>
      </c>
      <c r="AB42" s="61" t="str">
        <f t="shared" si="186"/>
        <v/>
      </c>
      <c r="AC42" s="114" t="s">
        <v>676</v>
      </c>
      <c r="AD42" s="80" t="s">
        <v>266</v>
      </c>
      <c r="AF42" s="61">
        <f>countif('Charts-SLR'!A:A,AD42)</f>
        <v>1</v>
      </c>
      <c r="AG42" s="80" t="s">
        <v>677</v>
      </c>
      <c r="AH42" s="61">
        <f t="shared" si="187"/>
        <v>0</v>
      </c>
      <c r="AI42" s="80" t="s">
        <v>268</v>
      </c>
      <c r="AJ42" s="80">
        <v>62.0</v>
      </c>
      <c r="AK42" s="108">
        <f t="shared" si="188"/>
        <v>15.5</v>
      </c>
      <c r="AL42" s="61" t="str">
        <f t="shared" si="189"/>
        <v/>
      </c>
      <c r="AM42" s="61" t="str">
        <f t="shared" si="190"/>
        <v/>
      </c>
      <c r="AN42" s="61" t="str">
        <f t="shared" si="191"/>
        <v/>
      </c>
      <c r="AO42" s="61" t="str">
        <f t="shared" si="192"/>
        <v/>
      </c>
      <c r="AP42" s="61">
        <f t="shared" si="193"/>
        <v>62</v>
      </c>
      <c r="AQ42" s="61" t="str">
        <f t="shared" si="194"/>
        <v/>
      </c>
      <c r="AR42" s="73" t="s">
        <v>217</v>
      </c>
      <c r="AS42" s="74"/>
      <c r="AT42" s="74"/>
      <c r="AU42" s="74"/>
      <c r="AV42" s="74"/>
      <c r="AW42" s="74"/>
      <c r="AX42" s="74"/>
      <c r="AY42" s="74"/>
      <c r="AZ42" s="74"/>
      <c r="BA42" s="74"/>
      <c r="BB42" s="109" t="str">
        <f t="shared" si="106"/>
        <v>ERR</v>
      </c>
      <c r="BC42" s="73" t="s">
        <v>217</v>
      </c>
      <c r="BD42" s="73" t="s">
        <v>217</v>
      </c>
      <c r="BE42" s="74"/>
      <c r="BF42" s="74"/>
      <c r="BG42" s="74"/>
      <c r="BH42" s="74"/>
      <c r="BI42" s="110">
        <f t="shared" si="195"/>
        <v>2</v>
      </c>
      <c r="BJ42" s="74"/>
      <c r="BK42" s="74"/>
      <c r="BL42" s="74"/>
      <c r="BM42" s="74"/>
      <c r="BN42" s="74"/>
      <c r="BO42" s="74"/>
      <c r="BP42" s="73" t="s">
        <v>217</v>
      </c>
      <c r="BQ42" s="74"/>
      <c r="BR42" s="74"/>
      <c r="BS42" s="74"/>
      <c r="BT42" s="74"/>
      <c r="BU42" s="74"/>
      <c r="BV42" s="74"/>
      <c r="BW42" s="74"/>
      <c r="BX42" s="73" t="s">
        <v>217</v>
      </c>
      <c r="BY42" s="74"/>
      <c r="BZ42" s="74"/>
      <c r="CA42" s="74"/>
      <c r="CB42" s="73" t="s">
        <v>217</v>
      </c>
      <c r="CC42" s="73" t="s">
        <v>217</v>
      </c>
      <c r="CD42" s="74"/>
      <c r="CE42" s="74"/>
      <c r="CF42" s="74"/>
      <c r="CG42" s="74"/>
      <c r="CH42" s="73" t="s">
        <v>217</v>
      </c>
      <c r="CI42" s="110" t="str">
        <f t="shared" si="201"/>
        <v/>
      </c>
      <c r="CJ42" s="110">
        <f t="shared" si="196"/>
        <v>2</v>
      </c>
      <c r="CK42" s="73" t="s">
        <v>217</v>
      </c>
      <c r="CL42" s="74"/>
      <c r="CM42" s="74"/>
      <c r="CN42" s="73" t="s">
        <v>217</v>
      </c>
      <c r="CO42" s="74"/>
      <c r="CP42" s="74"/>
      <c r="CQ42" s="74"/>
      <c r="DA42" s="80" t="s">
        <v>217</v>
      </c>
      <c r="DG42" s="61">
        <f t="shared" si="108"/>
        <v>1</v>
      </c>
      <c r="DH42" s="80" t="s">
        <v>217</v>
      </c>
      <c r="DJ42" s="80" t="s">
        <v>217</v>
      </c>
      <c r="DM42" s="61">
        <f t="shared" si="197"/>
        <v>2</v>
      </c>
      <c r="DO42" s="80" t="s">
        <v>217</v>
      </c>
      <c r="DP42" s="61" t="str">
        <f t="shared" si="109"/>
        <v/>
      </c>
      <c r="DQ42" s="61" t="str">
        <f t="shared" si="110"/>
        <v/>
      </c>
      <c r="DR42" s="61" t="str">
        <f t="shared" si="111"/>
        <v>FA</v>
      </c>
      <c r="DS42" s="73" t="s">
        <v>268</v>
      </c>
      <c r="DT42" s="74"/>
      <c r="DU42" s="74"/>
      <c r="DV42" s="73" t="s">
        <v>217</v>
      </c>
      <c r="DW42" s="74"/>
      <c r="DX42" s="74"/>
      <c r="DY42" s="110">
        <f t="shared" si="29"/>
        <v>2</v>
      </c>
      <c r="DZ42" s="74"/>
      <c r="EA42" s="74"/>
      <c r="EB42" s="74"/>
      <c r="EC42" s="74"/>
      <c r="ED42" s="74"/>
      <c r="EE42" s="110">
        <f t="shared" si="30"/>
        <v>0</v>
      </c>
      <c r="EF42" s="110" t="str">
        <f t="shared" si="70"/>
        <v/>
      </c>
      <c r="EG42" s="61" t="str">
        <f t="shared" si="31"/>
        <v/>
      </c>
      <c r="EI42" s="80" t="s">
        <v>678</v>
      </c>
      <c r="EJ42" s="74"/>
      <c r="EK42" s="74"/>
      <c r="EL42" s="74"/>
      <c r="EM42" s="73" t="s">
        <v>217</v>
      </c>
      <c r="ES42" s="80" t="s">
        <v>679</v>
      </c>
      <c r="ET42" s="73">
        <v>3.0</v>
      </c>
      <c r="EU42" s="74"/>
      <c r="EV42" s="74"/>
      <c r="EW42" s="74"/>
      <c r="EX42" s="74"/>
      <c r="EZ42" s="80" t="s">
        <v>680</v>
      </c>
      <c r="FA42" s="80" t="s">
        <v>378</v>
      </c>
      <c r="FB42" s="80" t="s">
        <v>681</v>
      </c>
      <c r="FD42" s="80" t="s">
        <v>682</v>
      </c>
      <c r="FE42" s="97">
        <f t="shared" si="32"/>
        <v>3</v>
      </c>
      <c r="FF42" s="80">
        <v>1.0</v>
      </c>
      <c r="FG42" s="80">
        <v>0.5</v>
      </c>
      <c r="FH42" s="80">
        <v>0.5</v>
      </c>
      <c r="FI42" s="61">
        <f>sum(FF42:FH42)</f>
        <v>2</v>
      </c>
      <c r="FJ42" s="80">
        <v>0.0</v>
      </c>
      <c r="FK42" s="80">
        <v>0.0</v>
      </c>
      <c r="FL42" s="80" t="s">
        <v>189</v>
      </c>
      <c r="FM42" s="61" t="str">
        <f>if(GP42&lt;1000, "0", if(GP42&lt;10000, "0.5","1"))</f>
        <v>1</v>
      </c>
      <c r="FN42" s="61">
        <f>sum(FJ42:FM42)</f>
        <v>0</v>
      </c>
      <c r="FP42" s="80" t="s">
        <v>217</v>
      </c>
      <c r="FQ42" s="61" t="str">
        <f t="shared" si="198"/>
        <v/>
      </c>
      <c r="FR42" s="80" t="s">
        <v>217</v>
      </c>
      <c r="FT42" s="61" t="str">
        <f>if(and(FS42="x",FR56="x"), "both", "")</f>
        <v/>
      </c>
      <c r="FU42" s="61" t="str">
        <f>if(and(FR56="",FS42=""), "none", "")</f>
        <v/>
      </c>
      <c r="FV42" s="73" t="s">
        <v>217</v>
      </c>
      <c r="FZ42" s="80" t="s">
        <v>217</v>
      </c>
      <c r="GC42" s="80" t="s">
        <v>217</v>
      </c>
      <c r="GL42" s="80" t="s">
        <v>683</v>
      </c>
      <c r="GN42" s="80">
        <v>4.0</v>
      </c>
      <c r="GO42" s="80" t="s">
        <v>684</v>
      </c>
      <c r="GP42" s="112">
        <v>31245.0</v>
      </c>
      <c r="GQ42" s="80" t="s">
        <v>685</v>
      </c>
      <c r="GS42" s="80" t="s">
        <v>217</v>
      </c>
      <c r="GU42" s="61" t="str">
        <f t="shared" si="36"/>
        <v/>
      </c>
      <c r="GV42" s="61" t="str">
        <f t="shared" si="37"/>
        <v/>
      </c>
      <c r="GW42" s="61" t="str">
        <f t="shared" si="38"/>
        <v/>
      </c>
      <c r="GX42" s="61" t="str">
        <f t="shared" si="39"/>
        <v/>
      </c>
      <c r="GY42" s="61" t="str">
        <f t="shared" si="40"/>
        <v/>
      </c>
      <c r="GZ42" s="61" t="str">
        <f t="shared" si="41"/>
        <v/>
      </c>
      <c r="HA42" s="61" t="str">
        <f t="shared" si="42"/>
        <v/>
      </c>
      <c r="HB42" s="61" t="str">
        <f t="shared" si="43"/>
        <v/>
      </c>
      <c r="HC42" s="61" t="str">
        <f t="shared" si="44"/>
        <v/>
      </c>
      <c r="HD42" s="61" t="str">
        <f t="shared" si="45"/>
        <v/>
      </c>
      <c r="HE42" s="61" t="str">
        <f t="shared" si="46"/>
        <v/>
      </c>
      <c r="HF42" s="61" t="str">
        <f t="shared" si="47"/>
        <v/>
      </c>
      <c r="HG42" s="61" t="str">
        <f t="shared" si="48"/>
        <v/>
      </c>
      <c r="HH42" s="61" t="str">
        <f t="shared" si="49"/>
        <v/>
      </c>
      <c r="HI42" s="61" t="str">
        <f t="shared" si="50"/>
        <v/>
      </c>
      <c r="HJ42" s="61" t="str">
        <f t="shared" si="51"/>
        <v/>
      </c>
      <c r="HK42" s="61" t="str">
        <f t="shared" si="52"/>
        <v/>
      </c>
      <c r="HL42" s="61" t="str">
        <f t="shared" si="53"/>
        <v/>
      </c>
      <c r="HM42" s="61" t="str">
        <f t="shared" si="54"/>
        <v/>
      </c>
      <c r="HN42" s="61" t="str">
        <f t="shared" si="55"/>
        <v/>
      </c>
      <c r="HO42" s="61" t="str">
        <f t="shared" si="56"/>
        <v/>
      </c>
      <c r="HP42" s="61" t="str">
        <f t="shared" si="57"/>
        <v/>
      </c>
      <c r="HQ42" s="61" t="str">
        <f t="shared" si="58"/>
        <v>x</v>
      </c>
      <c r="HR42" s="61" t="str">
        <f t="shared" si="59"/>
        <v/>
      </c>
      <c r="HS42" s="61" t="str">
        <f t="shared" si="60"/>
        <v/>
      </c>
      <c r="HT42" s="61" t="str">
        <f t="shared" si="61"/>
        <v/>
      </c>
      <c r="HU42" s="61" t="str">
        <f t="shared" si="62"/>
        <v/>
      </c>
      <c r="HV42" s="61" t="str">
        <f t="shared" si="63"/>
        <v/>
      </c>
      <c r="HW42" s="61" t="str">
        <f t="shared" si="64"/>
        <v/>
      </c>
      <c r="HX42" s="61" t="str">
        <f t="shared" si="65"/>
        <v/>
      </c>
      <c r="HY42" s="61" t="str">
        <f t="shared" si="66"/>
        <v/>
      </c>
      <c r="HZ42" s="61" t="str">
        <f t="shared" si="67"/>
        <v/>
      </c>
    </row>
    <row r="43" ht="1.5" customHeight="1">
      <c r="A43" s="49" t="s">
        <v>686</v>
      </c>
      <c r="B43" s="95" t="s">
        <v>687</v>
      </c>
      <c r="C43" s="117" t="s">
        <v>688</v>
      </c>
      <c r="D43" s="95" t="s">
        <v>210</v>
      </c>
      <c r="E43" s="96" t="str">
        <f t="shared" si="3"/>
        <v/>
      </c>
      <c r="F43" s="95" t="s">
        <v>245</v>
      </c>
      <c r="G43" s="95" t="s">
        <v>211</v>
      </c>
      <c r="H43" s="95">
        <v>2008.0</v>
      </c>
      <c r="I43" s="7"/>
      <c r="J43" s="95" t="s">
        <v>689</v>
      </c>
      <c r="K43" s="97" t="str">
        <f t="shared" si="177"/>
        <v/>
      </c>
      <c r="L43" s="97" t="str">
        <f t="shared" si="178"/>
        <v/>
      </c>
      <c r="M43" s="97" t="str">
        <f t="shared" si="179"/>
        <v/>
      </c>
      <c r="N43" s="97">
        <f t="shared" si="180"/>
        <v>1</v>
      </c>
      <c r="O43" s="97" t="str">
        <f t="shared" si="181"/>
        <v/>
      </c>
      <c r="P43" s="97" t="str">
        <f t="shared" si="182"/>
        <v/>
      </c>
      <c r="Q43" s="97" t="b">
        <f t="shared" si="105"/>
        <v>1</v>
      </c>
      <c r="R43" s="97" t="b">
        <f t="shared" si="183"/>
        <v>1</v>
      </c>
      <c r="S43" s="95">
        <v>1.0</v>
      </c>
      <c r="T43" s="95">
        <v>1.0</v>
      </c>
      <c r="U43" s="95">
        <v>1.0</v>
      </c>
      <c r="V43" s="97" t="b">
        <f t="shared" si="184"/>
        <v>1</v>
      </c>
      <c r="W43" s="95">
        <v>1.0</v>
      </c>
      <c r="X43" s="95">
        <v>1.0</v>
      </c>
      <c r="Y43" s="95">
        <v>1.0</v>
      </c>
      <c r="Z43" s="7"/>
      <c r="AA43" s="97" t="str">
        <f t="shared" si="185"/>
        <v/>
      </c>
      <c r="AB43" s="97" t="str">
        <f t="shared" si="186"/>
        <v/>
      </c>
      <c r="AC43" s="98" t="s">
        <v>690</v>
      </c>
      <c r="AD43" s="95" t="s">
        <v>464</v>
      </c>
      <c r="AE43" s="7"/>
      <c r="AF43" s="97">
        <f>countif('Charts-SLR'!A:A,AD43)</f>
        <v>1</v>
      </c>
      <c r="AG43" s="95" t="s">
        <v>475</v>
      </c>
      <c r="AH43" s="97">
        <f t="shared" si="187"/>
        <v>0</v>
      </c>
      <c r="AI43" s="95" t="s">
        <v>231</v>
      </c>
      <c r="AJ43" s="95">
        <v>18.0</v>
      </c>
      <c r="AK43" s="99">
        <f t="shared" si="188"/>
        <v>4.5</v>
      </c>
      <c r="AL43" s="97">
        <f t="shared" si="189"/>
        <v>18</v>
      </c>
      <c r="AM43" s="97" t="str">
        <f t="shared" si="190"/>
        <v/>
      </c>
      <c r="AN43" s="97" t="str">
        <f t="shared" si="191"/>
        <v/>
      </c>
      <c r="AO43" s="97" t="str">
        <f t="shared" si="192"/>
        <v/>
      </c>
      <c r="AP43" s="97" t="str">
        <f t="shared" si="193"/>
        <v/>
      </c>
      <c r="AQ43" s="97" t="str">
        <f t="shared" si="194"/>
        <v/>
      </c>
      <c r="AR43" s="100"/>
      <c r="AS43" s="100"/>
      <c r="AT43" s="100"/>
      <c r="AU43" s="100"/>
      <c r="AV43" s="100"/>
      <c r="AW43" s="100"/>
      <c r="AX43" s="100"/>
      <c r="AY43" s="100"/>
      <c r="AZ43" s="100"/>
      <c r="BA43" s="100"/>
      <c r="BB43" s="101" t="str">
        <f t="shared" si="106"/>
        <v>ERR</v>
      </c>
      <c r="BC43" s="102" t="s">
        <v>217</v>
      </c>
      <c r="BD43" s="100"/>
      <c r="BE43" s="100"/>
      <c r="BF43" s="100"/>
      <c r="BG43" s="100"/>
      <c r="BH43" s="100"/>
      <c r="BI43" s="103">
        <f t="shared" si="195"/>
        <v>1</v>
      </c>
      <c r="BJ43" s="100"/>
      <c r="BK43" s="100"/>
      <c r="BL43" s="100"/>
      <c r="BM43" s="100"/>
      <c r="BN43" s="100"/>
      <c r="BO43" s="102" t="s">
        <v>217</v>
      </c>
      <c r="BP43" s="100"/>
      <c r="BQ43" s="100"/>
      <c r="BR43" s="100"/>
      <c r="BS43" s="100"/>
      <c r="BT43" s="100"/>
      <c r="BU43" s="74"/>
      <c r="BV43" s="102" t="s">
        <v>217</v>
      </c>
      <c r="BW43" s="100"/>
      <c r="BX43" s="100"/>
      <c r="BY43" s="100"/>
      <c r="BZ43" s="100"/>
      <c r="CA43" s="102" t="s">
        <v>217</v>
      </c>
      <c r="CB43" s="102" t="s">
        <v>217</v>
      </c>
      <c r="CC43" s="100"/>
      <c r="CD43" s="100"/>
      <c r="CE43" s="100"/>
      <c r="CF43" s="100"/>
      <c r="CG43" s="100"/>
      <c r="CH43" s="102" t="s">
        <v>217</v>
      </c>
      <c r="CI43" s="103" t="str">
        <f t="shared" si="201"/>
        <v/>
      </c>
      <c r="CJ43" s="103">
        <f t="shared" si="196"/>
        <v>2</v>
      </c>
      <c r="CK43" s="100"/>
      <c r="CL43" s="100"/>
      <c r="CM43" s="102" t="s">
        <v>217</v>
      </c>
      <c r="CN43" s="102" t="s">
        <v>217</v>
      </c>
      <c r="CO43" s="100"/>
      <c r="CP43" s="100"/>
      <c r="CQ43" s="100"/>
      <c r="CR43" s="7"/>
      <c r="CS43" s="7"/>
      <c r="CT43" s="7"/>
      <c r="CU43" s="7"/>
      <c r="CV43" s="7"/>
      <c r="CW43" s="7"/>
      <c r="CX43" s="95" t="s">
        <v>217</v>
      </c>
      <c r="CY43" s="7"/>
      <c r="CZ43" s="7"/>
      <c r="DA43" s="7"/>
      <c r="DB43" s="7"/>
      <c r="DC43" s="7"/>
      <c r="DD43" s="7"/>
      <c r="DE43" s="7"/>
      <c r="DF43" s="7"/>
      <c r="DG43" s="97">
        <f t="shared" si="108"/>
        <v>1</v>
      </c>
      <c r="DH43" s="7"/>
      <c r="DI43" s="7"/>
      <c r="DJ43" s="7"/>
      <c r="DK43" s="95" t="s">
        <v>217</v>
      </c>
      <c r="DL43" s="7"/>
      <c r="DM43" s="97">
        <f t="shared" si="197"/>
        <v>1</v>
      </c>
      <c r="DN43" s="95" t="s">
        <v>217</v>
      </c>
      <c r="DO43" s="7"/>
      <c r="DP43" s="97" t="str">
        <f t="shared" si="109"/>
        <v/>
      </c>
      <c r="DQ43" s="97" t="str">
        <f t="shared" si="110"/>
        <v>FM</v>
      </c>
      <c r="DR43" s="97" t="str">
        <f t="shared" si="111"/>
        <v/>
      </c>
      <c r="DS43" s="100"/>
      <c r="DT43" s="100"/>
      <c r="DU43" s="100"/>
      <c r="DV43" s="100"/>
      <c r="DW43" s="100"/>
      <c r="DX43" s="100"/>
      <c r="DY43" s="103">
        <f t="shared" si="29"/>
        <v>0</v>
      </c>
      <c r="DZ43" s="100"/>
      <c r="EA43" s="100"/>
      <c r="EB43" s="100"/>
      <c r="EC43" s="100"/>
      <c r="ED43" s="100"/>
      <c r="EE43" s="103">
        <f t="shared" si="30"/>
        <v>0</v>
      </c>
      <c r="EF43" s="103" t="str">
        <f t="shared" si="70"/>
        <v/>
      </c>
      <c r="EG43" s="97" t="str">
        <f t="shared" si="31"/>
        <v/>
      </c>
      <c r="EH43" s="7"/>
      <c r="EI43" s="7"/>
      <c r="EJ43" s="100"/>
      <c r="EK43" s="100"/>
      <c r="EL43" s="100"/>
      <c r="EM43" s="100"/>
      <c r="EN43" s="7"/>
      <c r="EO43" s="7"/>
      <c r="EP43" s="7"/>
      <c r="EQ43" s="95" t="s">
        <v>217</v>
      </c>
      <c r="ER43" s="7"/>
      <c r="ES43" s="7"/>
      <c r="ET43" s="100"/>
      <c r="EU43" s="100"/>
      <c r="EV43" s="100"/>
      <c r="EW43" s="100"/>
      <c r="EX43" s="100"/>
      <c r="EY43" s="7"/>
      <c r="EZ43" s="7"/>
      <c r="FA43" s="7"/>
      <c r="FB43" s="7"/>
      <c r="FC43" s="7"/>
      <c r="FD43" s="7"/>
      <c r="FE43" s="97" t="str">
        <f t="shared" si="32"/>
        <v/>
      </c>
      <c r="FF43" s="7"/>
      <c r="FG43" s="7"/>
      <c r="FH43" s="7"/>
      <c r="FI43" s="7"/>
      <c r="FJ43" s="7"/>
      <c r="FK43" s="7"/>
      <c r="FL43" s="7"/>
      <c r="FM43" s="7"/>
      <c r="FN43" s="7"/>
      <c r="FO43" s="7"/>
      <c r="FP43" s="95" t="s">
        <v>217</v>
      </c>
      <c r="FQ43" s="97" t="str">
        <f t="shared" si="198"/>
        <v/>
      </c>
      <c r="FR43" s="95" t="s">
        <v>217</v>
      </c>
      <c r="FS43" s="7"/>
      <c r="FT43" s="97" t="str">
        <f t="shared" ref="FT43:FT44" si="202">if(and(FS43="x",FR43="x"), "both", "")</f>
        <v/>
      </c>
      <c r="FU43" s="97" t="str">
        <f t="shared" ref="FU43:FU44" si="203">if(and(FR43="",FS43=""), "none", "")</f>
        <v/>
      </c>
      <c r="FV43" s="100"/>
      <c r="FW43" s="95" t="s">
        <v>217</v>
      </c>
      <c r="FX43" s="7"/>
      <c r="FY43" s="7"/>
      <c r="FZ43" s="7"/>
      <c r="GA43" s="7"/>
      <c r="GB43" s="7"/>
      <c r="GC43" s="7"/>
      <c r="GD43" s="7"/>
      <c r="GE43" s="7"/>
      <c r="GF43" s="7"/>
      <c r="GG43" s="7"/>
      <c r="GH43" s="7"/>
      <c r="GI43" s="7"/>
      <c r="GJ43" s="7"/>
      <c r="GK43" s="7"/>
      <c r="GL43" s="7"/>
      <c r="GM43" s="7"/>
      <c r="GN43" s="7"/>
      <c r="GO43" s="7"/>
      <c r="GP43" s="121"/>
      <c r="GQ43" s="7"/>
      <c r="GR43" s="95" t="s">
        <v>217</v>
      </c>
      <c r="GS43" s="7"/>
      <c r="GT43" s="7"/>
      <c r="GU43" s="61" t="str">
        <f t="shared" si="36"/>
        <v/>
      </c>
      <c r="GV43" s="61" t="str">
        <f t="shared" si="37"/>
        <v/>
      </c>
      <c r="GW43" s="61" t="str">
        <f t="shared" si="38"/>
        <v/>
      </c>
      <c r="GX43" s="61" t="str">
        <f t="shared" si="39"/>
        <v/>
      </c>
      <c r="GY43" s="61" t="str">
        <f t="shared" si="40"/>
        <v/>
      </c>
      <c r="GZ43" s="61" t="str">
        <f t="shared" si="41"/>
        <v/>
      </c>
      <c r="HA43" s="61" t="str">
        <f t="shared" si="42"/>
        <v/>
      </c>
      <c r="HB43" s="61" t="str">
        <f t="shared" si="43"/>
        <v/>
      </c>
      <c r="HC43" s="61" t="str">
        <f t="shared" si="44"/>
        <v/>
      </c>
      <c r="HD43" s="61" t="str">
        <f t="shared" si="45"/>
        <v/>
      </c>
      <c r="HE43" s="61" t="str">
        <f t="shared" si="46"/>
        <v/>
      </c>
      <c r="HF43" s="61" t="str">
        <f t="shared" si="47"/>
        <v/>
      </c>
      <c r="HG43" s="61" t="str">
        <f t="shared" si="48"/>
        <v/>
      </c>
      <c r="HH43" s="61" t="str">
        <f t="shared" si="49"/>
        <v/>
      </c>
      <c r="HI43" s="61" t="str">
        <f t="shared" si="50"/>
        <v/>
      </c>
      <c r="HJ43" s="61" t="str">
        <f t="shared" si="51"/>
        <v/>
      </c>
      <c r="HK43" s="61" t="str">
        <f t="shared" si="52"/>
        <v/>
      </c>
      <c r="HL43" s="61" t="str">
        <f t="shared" si="53"/>
        <v/>
      </c>
      <c r="HM43" s="61" t="str">
        <f t="shared" si="54"/>
        <v/>
      </c>
      <c r="HN43" s="61" t="str">
        <f t="shared" si="55"/>
        <v/>
      </c>
      <c r="HO43" s="61" t="str">
        <f t="shared" si="56"/>
        <v/>
      </c>
      <c r="HP43" s="61" t="str">
        <f t="shared" si="57"/>
        <v/>
      </c>
      <c r="HQ43" s="61" t="str">
        <f t="shared" si="58"/>
        <v/>
      </c>
      <c r="HR43" s="61" t="str">
        <f t="shared" si="59"/>
        <v/>
      </c>
      <c r="HS43" s="61" t="str">
        <f t="shared" si="60"/>
        <v/>
      </c>
      <c r="HT43" s="61" t="str">
        <f t="shared" si="61"/>
        <v/>
      </c>
      <c r="HU43" s="61" t="str">
        <f t="shared" si="62"/>
        <v/>
      </c>
      <c r="HV43" s="61" t="str">
        <f t="shared" si="63"/>
        <v/>
      </c>
      <c r="HW43" s="61" t="str">
        <f t="shared" si="64"/>
        <v/>
      </c>
      <c r="HX43" s="61" t="str">
        <f t="shared" si="65"/>
        <v/>
      </c>
      <c r="HY43" s="61" t="str">
        <f t="shared" si="66"/>
        <v/>
      </c>
      <c r="HZ43" s="61" t="str">
        <f t="shared" si="67"/>
        <v/>
      </c>
    </row>
    <row r="44" ht="1.5" customHeight="1">
      <c r="A44" s="49" t="s">
        <v>691</v>
      </c>
      <c r="B44" s="95" t="s">
        <v>692</v>
      </c>
      <c r="C44" s="117" t="s">
        <v>693</v>
      </c>
      <c r="D44" s="95" t="s">
        <v>209</v>
      </c>
      <c r="E44" s="96" t="str">
        <f t="shared" si="3"/>
        <v/>
      </c>
      <c r="F44" s="95" t="s">
        <v>210</v>
      </c>
      <c r="G44" s="95" t="s">
        <v>211</v>
      </c>
      <c r="H44" s="95">
        <v>2010.0</v>
      </c>
      <c r="I44" s="7"/>
      <c r="J44" s="95" t="s">
        <v>694</v>
      </c>
      <c r="K44" s="97">
        <f t="shared" si="177"/>
        <v>1</v>
      </c>
      <c r="L44" s="97" t="str">
        <f t="shared" si="178"/>
        <v/>
      </c>
      <c r="M44" s="97" t="str">
        <f t="shared" si="179"/>
        <v/>
      </c>
      <c r="N44" s="97" t="str">
        <f t="shared" si="180"/>
        <v/>
      </c>
      <c r="O44" s="97" t="str">
        <f t="shared" si="181"/>
        <v/>
      </c>
      <c r="P44" s="97" t="str">
        <f t="shared" si="182"/>
        <v/>
      </c>
      <c r="Q44" s="97" t="b">
        <f t="shared" si="105"/>
        <v>1</v>
      </c>
      <c r="R44" s="97" t="b">
        <f t="shared" si="183"/>
        <v>1</v>
      </c>
      <c r="S44" s="95">
        <v>1.0</v>
      </c>
      <c r="T44" s="95">
        <v>1.0</v>
      </c>
      <c r="U44" s="95">
        <v>1.0</v>
      </c>
      <c r="V44" s="97" t="b">
        <f t="shared" si="184"/>
        <v>1</v>
      </c>
      <c r="W44" s="95">
        <v>0.0</v>
      </c>
      <c r="X44" s="95">
        <v>1.0</v>
      </c>
      <c r="Y44" s="95">
        <v>1.0</v>
      </c>
      <c r="Z44" s="142" t="s">
        <v>695</v>
      </c>
      <c r="AA44" s="97" t="str">
        <f t="shared" si="185"/>
        <v/>
      </c>
      <c r="AB44" s="97" t="str">
        <f t="shared" si="186"/>
        <v/>
      </c>
      <c r="AC44" s="98" t="s">
        <v>696</v>
      </c>
      <c r="AD44" s="95" t="s">
        <v>697</v>
      </c>
      <c r="AE44" s="7"/>
      <c r="AF44" s="97">
        <f>countif('Charts-SLR'!A:A,AD44)</f>
        <v>1</v>
      </c>
      <c r="AG44" s="95" t="s">
        <v>698</v>
      </c>
      <c r="AH44" s="97">
        <f t="shared" si="187"/>
        <v>0</v>
      </c>
      <c r="AI44" s="95" t="s">
        <v>231</v>
      </c>
      <c r="AJ44" s="95">
        <v>0.0</v>
      </c>
      <c r="AK44" s="99">
        <f t="shared" si="188"/>
        <v>0</v>
      </c>
      <c r="AL44" s="97">
        <f t="shared" si="189"/>
        <v>0</v>
      </c>
      <c r="AM44" s="97" t="str">
        <f t="shared" si="190"/>
        <v/>
      </c>
      <c r="AN44" s="97" t="str">
        <f t="shared" si="191"/>
        <v/>
      </c>
      <c r="AO44" s="97" t="str">
        <f t="shared" si="192"/>
        <v/>
      </c>
      <c r="AP44" s="97" t="str">
        <f t="shared" si="193"/>
        <v/>
      </c>
      <c r="AQ44" s="97" t="str">
        <f t="shared" si="194"/>
        <v/>
      </c>
      <c r="AR44" s="100"/>
      <c r="AS44" s="100"/>
      <c r="AT44" s="100"/>
      <c r="AU44" s="100"/>
      <c r="AV44" s="100"/>
      <c r="AW44" s="100"/>
      <c r="AX44" s="100"/>
      <c r="AY44" s="100"/>
      <c r="AZ44" s="100"/>
      <c r="BA44" s="100"/>
      <c r="BB44" s="101" t="str">
        <f t="shared" si="106"/>
        <v>ERR</v>
      </c>
      <c r="BC44" s="102" t="s">
        <v>217</v>
      </c>
      <c r="BD44" s="102" t="s">
        <v>217</v>
      </c>
      <c r="BE44" s="100"/>
      <c r="BF44" s="100"/>
      <c r="BG44" s="102" t="s">
        <v>217</v>
      </c>
      <c r="BH44" s="100"/>
      <c r="BI44" s="103">
        <f t="shared" si="195"/>
        <v>3</v>
      </c>
      <c r="BJ44" s="100"/>
      <c r="BK44" s="100"/>
      <c r="BL44" s="100"/>
      <c r="BM44" s="100"/>
      <c r="BN44" s="100"/>
      <c r="BO44" s="102" t="s">
        <v>217</v>
      </c>
      <c r="BP44" s="100"/>
      <c r="BQ44" s="100"/>
      <c r="BR44" s="100"/>
      <c r="BS44" s="100"/>
      <c r="BT44" s="100"/>
      <c r="BU44" s="74"/>
      <c r="BV44" s="102" t="s">
        <v>217</v>
      </c>
      <c r="BW44" s="100"/>
      <c r="BX44" s="100"/>
      <c r="BY44" s="100"/>
      <c r="BZ44" s="102" t="s">
        <v>217</v>
      </c>
      <c r="CA44" s="102" t="s">
        <v>217</v>
      </c>
      <c r="CB44" s="100"/>
      <c r="CC44" s="100"/>
      <c r="CD44" s="100"/>
      <c r="CE44" s="100"/>
      <c r="CF44" s="100"/>
      <c r="CG44" s="102" t="s">
        <v>217</v>
      </c>
      <c r="CH44" s="100"/>
      <c r="CI44" s="103" t="str">
        <f t="shared" si="201"/>
        <v/>
      </c>
      <c r="CJ44" s="103">
        <f t="shared" si="196"/>
        <v>1</v>
      </c>
      <c r="CK44" s="102" t="s">
        <v>217</v>
      </c>
      <c r="CL44" s="100"/>
      <c r="CM44" s="100"/>
      <c r="CN44" s="100"/>
      <c r="CO44" s="100"/>
      <c r="CP44" s="102" t="s">
        <v>217</v>
      </c>
      <c r="CQ44" s="100"/>
      <c r="CR44" s="7"/>
      <c r="CS44" s="7"/>
      <c r="CT44" s="7"/>
      <c r="CU44" s="7"/>
      <c r="CV44" s="95" t="s">
        <v>217</v>
      </c>
      <c r="CW44" s="7"/>
      <c r="CX44" s="7"/>
      <c r="CY44" s="7"/>
      <c r="CZ44" s="7"/>
      <c r="DA44" s="7"/>
      <c r="DB44" s="7"/>
      <c r="DC44" s="7"/>
      <c r="DD44" s="7"/>
      <c r="DE44" s="7"/>
      <c r="DF44" s="7"/>
      <c r="DG44" s="97">
        <f t="shared" si="108"/>
        <v>1</v>
      </c>
      <c r="DH44" s="95" t="s">
        <v>217</v>
      </c>
      <c r="DI44" s="7"/>
      <c r="DJ44" s="7"/>
      <c r="DK44" s="95" t="s">
        <v>217</v>
      </c>
      <c r="DL44" s="7"/>
      <c r="DM44" s="97">
        <f t="shared" si="197"/>
        <v>2</v>
      </c>
      <c r="DN44" s="7"/>
      <c r="DO44" s="95" t="s">
        <v>217</v>
      </c>
      <c r="DP44" s="97" t="str">
        <f t="shared" si="109"/>
        <v/>
      </c>
      <c r="DQ44" s="97" t="str">
        <f t="shared" si="110"/>
        <v/>
      </c>
      <c r="DR44" s="97" t="str">
        <f t="shared" si="111"/>
        <v>FA</v>
      </c>
      <c r="DS44" s="100"/>
      <c r="DT44" s="100"/>
      <c r="DU44" s="100"/>
      <c r="DV44" s="100"/>
      <c r="DW44" s="100"/>
      <c r="DX44" s="100"/>
      <c r="DY44" s="103">
        <f t="shared" si="29"/>
        <v>0</v>
      </c>
      <c r="DZ44" s="100"/>
      <c r="EA44" s="100"/>
      <c r="EB44" s="100"/>
      <c r="EC44" s="100"/>
      <c r="ED44" s="100"/>
      <c r="EE44" s="103">
        <f t="shared" si="30"/>
        <v>0</v>
      </c>
      <c r="EF44" s="103" t="str">
        <f t="shared" si="70"/>
        <v/>
      </c>
      <c r="EG44" s="97" t="str">
        <f t="shared" si="31"/>
        <v/>
      </c>
      <c r="EH44" s="7"/>
      <c r="EI44" s="7"/>
      <c r="EJ44" s="100"/>
      <c r="EK44" s="100"/>
      <c r="EL44" s="100"/>
      <c r="EM44" s="100"/>
      <c r="EN44" s="7"/>
      <c r="EO44" s="7"/>
      <c r="EP44" s="7"/>
      <c r="EQ44" s="7"/>
      <c r="ER44" s="7"/>
      <c r="ES44" s="7"/>
      <c r="ET44" s="100"/>
      <c r="EU44" s="100"/>
      <c r="EV44" s="100"/>
      <c r="EW44" s="100"/>
      <c r="EX44" s="100"/>
      <c r="EY44" s="7"/>
      <c r="EZ44" s="7"/>
      <c r="FA44" s="7"/>
      <c r="FB44" s="7"/>
      <c r="FC44" s="7"/>
      <c r="FD44" s="7"/>
      <c r="FE44" s="97" t="str">
        <f t="shared" si="32"/>
        <v/>
      </c>
      <c r="FF44" s="7"/>
      <c r="FG44" s="7"/>
      <c r="FH44" s="7"/>
      <c r="FI44" s="7"/>
      <c r="FJ44" s="7"/>
      <c r="FK44" s="7"/>
      <c r="FL44" s="7"/>
      <c r="FM44" s="7"/>
      <c r="FN44" s="7"/>
      <c r="FO44" s="7"/>
      <c r="FP44" s="95" t="s">
        <v>217</v>
      </c>
      <c r="FQ44" s="97" t="str">
        <f t="shared" si="198"/>
        <v/>
      </c>
      <c r="FR44" s="95" t="s">
        <v>217</v>
      </c>
      <c r="FS44" s="7"/>
      <c r="FT44" s="97" t="str">
        <f t="shared" si="202"/>
        <v/>
      </c>
      <c r="FU44" s="97" t="str">
        <f t="shared" si="203"/>
        <v/>
      </c>
      <c r="FV44" s="100"/>
      <c r="FW44" s="7"/>
      <c r="FX44" s="7"/>
      <c r="FY44" s="7"/>
      <c r="FZ44" s="7"/>
      <c r="GA44" s="95" t="s">
        <v>217</v>
      </c>
      <c r="GB44" s="7"/>
      <c r="GC44" s="7"/>
      <c r="GD44" s="7"/>
      <c r="GE44" s="7"/>
      <c r="GF44" s="7"/>
      <c r="GG44" s="7"/>
      <c r="GH44" s="7"/>
      <c r="GI44" s="7"/>
      <c r="GJ44" s="95" t="s">
        <v>217</v>
      </c>
      <c r="GK44" s="7"/>
      <c r="GL44" s="95" t="s">
        <v>699</v>
      </c>
      <c r="GM44" s="7"/>
      <c r="GN44" s="95">
        <v>1.0</v>
      </c>
      <c r="GO44" s="95" t="s">
        <v>700</v>
      </c>
      <c r="GP44" s="121"/>
      <c r="GQ44" s="7"/>
      <c r="GR44" s="7"/>
      <c r="GS44" s="95" t="s">
        <v>217</v>
      </c>
      <c r="GT44" s="7"/>
      <c r="GU44" s="61" t="str">
        <f t="shared" si="36"/>
        <v>x</v>
      </c>
      <c r="GV44" s="61" t="str">
        <f t="shared" si="37"/>
        <v/>
      </c>
      <c r="GW44" s="61" t="str">
        <f t="shared" si="38"/>
        <v/>
      </c>
      <c r="GX44" s="61" t="str">
        <f t="shared" si="39"/>
        <v/>
      </c>
      <c r="GY44" s="61" t="str">
        <f t="shared" si="40"/>
        <v/>
      </c>
      <c r="GZ44" s="61" t="str">
        <f t="shared" si="41"/>
        <v/>
      </c>
      <c r="HA44" s="61" t="str">
        <f t="shared" si="42"/>
        <v/>
      </c>
      <c r="HB44" s="61" t="str">
        <f t="shared" si="43"/>
        <v/>
      </c>
      <c r="HC44" s="61" t="str">
        <f t="shared" si="44"/>
        <v/>
      </c>
      <c r="HD44" s="61" t="str">
        <f t="shared" si="45"/>
        <v/>
      </c>
      <c r="HE44" s="61" t="str">
        <f t="shared" si="46"/>
        <v/>
      </c>
      <c r="HF44" s="61" t="str">
        <f t="shared" si="47"/>
        <v/>
      </c>
      <c r="HG44" s="61" t="str">
        <f t="shared" si="48"/>
        <v/>
      </c>
      <c r="HH44" s="61" t="str">
        <f t="shared" si="49"/>
        <v/>
      </c>
      <c r="HI44" s="61" t="str">
        <f t="shared" si="50"/>
        <v/>
      </c>
      <c r="HJ44" s="61" t="str">
        <f t="shared" si="51"/>
        <v/>
      </c>
      <c r="HK44" s="61" t="str">
        <f t="shared" si="52"/>
        <v/>
      </c>
      <c r="HL44" s="61" t="str">
        <f t="shared" si="53"/>
        <v/>
      </c>
      <c r="HM44" s="61" t="str">
        <f t="shared" si="54"/>
        <v/>
      </c>
      <c r="HN44" s="61" t="str">
        <f t="shared" si="55"/>
        <v/>
      </c>
      <c r="HO44" s="61" t="str">
        <f t="shared" si="56"/>
        <v/>
      </c>
      <c r="HP44" s="61" t="str">
        <f t="shared" si="57"/>
        <v/>
      </c>
      <c r="HQ44" s="61" t="str">
        <f t="shared" si="58"/>
        <v/>
      </c>
      <c r="HR44" s="61" t="str">
        <f t="shared" si="59"/>
        <v/>
      </c>
      <c r="HS44" s="61" t="str">
        <f t="shared" si="60"/>
        <v/>
      </c>
      <c r="HT44" s="61" t="str">
        <f t="shared" si="61"/>
        <v/>
      </c>
      <c r="HU44" s="61" t="str">
        <f t="shared" si="62"/>
        <v/>
      </c>
      <c r="HV44" s="61" t="str">
        <f t="shared" si="63"/>
        <v/>
      </c>
      <c r="HW44" s="61" t="str">
        <f t="shared" si="64"/>
        <v/>
      </c>
      <c r="HX44" s="61" t="str">
        <f t="shared" si="65"/>
        <v/>
      </c>
      <c r="HY44" s="61" t="str">
        <f t="shared" si="66"/>
        <v/>
      </c>
      <c r="HZ44" s="61" t="str">
        <f t="shared" si="67"/>
        <v/>
      </c>
    </row>
    <row r="45" ht="15.0" customHeight="1">
      <c r="A45" s="49" t="s">
        <v>701</v>
      </c>
      <c r="B45" s="87" t="s">
        <v>702</v>
      </c>
      <c r="C45" s="126" t="s">
        <v>703</v>
      </c>
      <c r="D45" s="80" t="s">
        <v>301</v>
      </c>
      <c r="E45" s="107">
        <f t="shared" si="3"/>
        <v>2</v>
      </c>
      <c r="F45" s="80" t="s">
        <v>210</v>
      </c>
      <c r="G45" s="80" t="s">
        <v>217</v>
      </c>
      <c r="H45" s="80">
        <v>2013.0</v>
      </c>
      <c r="J45" s="80" t="s">
        <v>704</v>
      </c>
      <c r="Q45" s="61" t="b">
        <f t="shared" si="105"/>
        <v>1</v>
      </c>
      <c r="R45" s="61" t="b">
        <f>if(AVERAGE(S45:U45)&gt;=5, TRUE, FALSE)</f>
        <v>1</v>
      </c>
      <c r="S45" s="80">
        <v>8.0</v>
      </c>
      <c r="T45" s="80">
        <v>7.0</v>
      </c>
      <c r="U45" s="80">
        <v>8.0</v>
      </c>
      <c r="V45" s="61" t="b">
        <f>if(AVERAGE(W45:Y45)&gt;=5, TRUE, FALSE)</f>
        <v>1</v>
      </c>
      <c r="W45" s="80">
        <v>8.0</v>
      </c>
      <c r="X45" s="80">
        <v>7.0</v>
      </c>
      <c r="Y45" s="80">
        <v>7.0</v>
      </c>
      <c r="Z45" s="115" t="s">
        <v>705</v>
      </c>
      <c r="AC45" s="127"/>
      <c r="AR45" s="74"/>
      <c r="AS45" s="74"/>
      <c r="AT45" s="74"/>
      <c r="AU45" s="74"/>
      <c r="AV45" s="73" t="s">
        <v>217</v>
      </c>
      <c r="AW45" s="74"/>
      <c r="AX45" s="74"/>
      <c r="AY45" s="74"/>
      <c r="AZ45" s="74"/>
      <c r="BA45" s="74"/>
      <c r="BB45" s="109" t="str">
        <f t="shared" si="106"/>
        <v/>
      </c>
      <c r="BC45" s="73" t="s">
        <v>217</v>
      </c>
      <c r="BD45" s="73" t="s">
        <v>217</v>
      </c>
      <c r="BE45" s="73" t="s">
        <v>217</v>
      </c>
      <c r="BF45" s="74"/>
      <c r="BG45" s="74"/>
      <c r="BH45" s="74"/>
      <c r="BI45" s="74"/>
      <c r="BJ45" s="73" t="s">
        <v>217</v>
      </c>
      <c r="BK45" s="74"/>
      <c r="BL45" s="74"/>
      <c r="BM45" s="74"/>
      <c r="BN45" s="73" t="s">
        <v>218</v>
      </c>
      <c r="BO45" s="74"/>
      <c r="BP45" s="73" t="s">
        <v>217</v>
      </c>
      <c r="BQ45" s="74"/>
      <c r="BR45" s="74"/>
      <c r="BS45" s="74"/>
      <c r="BT45" s="74"/>
      <c r="BU45" s="74"/>
      <c r="BV45" s="73" t="s">
        <v>217</v>
      </c>
      <c r="BW45" s="74"/>
      <c r="BX45" s="73" t="s">
        <v>217</v>
      </c>
      <c r="BY45" s="73" t="s">
        <v>217</v>
      </c>
      <c r="BZ45" s="74"/>
      <c r="CA45" s="73" t="s">
        <v>217</v>
      </c>
      <c r="CB45" s="73" t="s">
        <v>217</v>
      </c>
      <c r="CC45" s="74"/>
      <c r="CD45" s="74"/>
      <c r="CE45" s="74"/>
      <c r="CF45" s="74"/>
      <c r="CG45" s="74"/>
      <c r="CH45" s="73" t="s">
        <v>217</v>
      </c>
      <c r="CI45" s="110" t="str">
        <f t="shared" si="201"/>
        <v/>
      </c>
      <c r="CJ45" s="74"/>
      <c r="CK45" s="74"/>
      <c r="CL45" s="74"/>
      <c r="CM45" s="73" t="s">
        <v>217</v>
      </c>
      <c r="CN45" s="74"/>
      <c r="CO45" s="74"/>
      <c r="CP45" s="74"/>
      <c r="CQ45" s="73" t="s">
        <v>217</v>
      </c>
      <c r="CS45" s="80" t="s">
        <v>217</v>
      </c>
      <c r="CZ45" s="80" t="s">
        <v>217</v>
      </c>
      <c r="DE45" s="80" t="s">
        <v>217</v>
      </c>
      <c r="DG45" s="61">
        <f t="shared" si="108"/>
        <v>2</v>
      </c>
      <c r="DI45" s="80" t="s">
        <v>217</v>
      </c>
      <c r="DK45" s="80" t="s">
        <v>217</v>
      </c>
      <c r="DO45" s="80" t="s">
        <v>217</v>
      </c>
      <c r="DP45" s="61" t="str">
        <f t="shared" si="109"/>
        <v/>
      </c>
      <c r="DQ45" s="61" t="str">
        <f t="shared" si="110"/>
        <v/>
      </c>
      <c r="DR45" s="61" t="str">
        <f t="shared" si="111"/>
        <v>FA</v>
      </c>
      <c r="DS45" s="74"/>
      <c r="DT45" s="73" t="s">
        <v>706</v>
      </c>
      <c r="DU45" s="73" t="s">
        <v>217</v>
      </c>
      <c r="DV45" s="74"/>
      <c r="DW45" s="74"/>
      <c r="DX45" s="74"/>
      <c r="DY45" s="110">
        <f t="shared" si="29"/>
        <v>2</v>
      </c>
      <c r="DZ45" s="110" t="str">
        <f>if(AND(DS45&lt;&gt;"",DW45="x"), "x", "")</f>
        <v/>
      </c>
      <c r="EA45" s="73" t="s">
        <v>217</v>
      </c>
      <c r="EB45" s="74"/>
      <c r="EC45" s="74"/>
      <c r="ED45" s="74"/>
      <c r="EE45" s="110">
        <f t="shared" si="30"/>
        <v>1</v>
      </c>
      <c r="EF45" s="110" t="str">
        <f t="shared" si="70"/>
        <v>x</v>
      </c>
      <c r="EG45" s="61" t="str">
        <f t="shared" si="31"/>
        <v/>
      </c>
      <c r="EI45" s="80" t="s">
        <v>707</v>
      </c>
      <c r="EJ45" s="74"/>
      <c r="EK45" s="74"/>
      <c r="EL45" s="74"/>
      <c r="EM45" s="74"/>
      <c r="EP45" s="80" t="s">
        <v>217</v>
      </c>
      <c r="ES45" s="80" t="s">
        <v>708</v>
      </c>
      <c r="ET45" s="73">
        <v>0.0</v>
      </c>
      <c r="EU45" s="74"/>
      <c r="EV45" s="74"/>
      <c r="EW45" s="74"/>
      <c r="EX45" s="74"/>
      <c r="EZ45" s="80" t="s">
        <v>709</v>
      </c>
      <c r="FE45" s="97">
        <f t="shared" si="32"/>
        <v>0</v>
      </c>
      <c r="FF45" s="80">
        <v>1.0</v>
      </c>
      <c r="FG45" s="80">
        <v>1.0</v>
      </c>
      <c r="FH45" s="80">
        <v>0.0</v>
      </c>
      <c r="FI45" s="61">
        <f>sum(FF45:FH45)</f>
        <v>2</v>
      </c>
      <c r="FJ45" s="80">
        <v>0.0</v>
      </c>
      <c r="FK45" s="80">
        <v>0.0</v>
      </c>
      <c r="FL45" s="80" t="s">
        <v>189</v>
      </c>
      <c r="FM45" s="61" t="str">
        <f>if(GP45&lt;1000, "0", if(GP45&lt;10000, "0.5","1"))</f>
        <v>1</v>
      </c>
      <c r="FN45" s="61">
        <f>sum(FJ45:FM45)</f>
        <v>0</v>
      </c>
      <c r="FP45" s="80" t="s">
        <v>217</v>
      </c>
      <c r="FR45" s="80" t="s">
        <v>217</v>
      </c>
      <c r="FS45" s="80" t="s">
        <v>217</v>
      </c>
      <c r="FV45" s="74"/>
      <c r="FW45" s="80" t="s">
        <v>217</v>
      </c>
      <c r="FX45" s="80" t="s">
        <v>217</v>
      </c>
      <c r="GD45" s="80" t="s">
        <v>217</v>
      </c>
      <c r="GL45" s="80" t="s">
        <v>710</v>
      </c>
      <c r="GN45" s="80">
        <v>5.0</v>
      </c>
      <c r="GO45" s="80" t="s">
        <v>711</v>
      </c>
      <c r="GP45" s="80">
        <v>137567.0</v>
      </c>
      <c r="GQ45" s="80" t="s">
        <v>712</v>
      </c>
      <c r="GS45" s="80" t="s">
        <v>217</v>
      </c>
      <c r="GU45" s="61" t="str">
        <f t="shared" si="36"/>
        <v/>
      </c>
      <c r="GV45" s="61" t="str">
        <f t="shared" si="37"/>
        <v/>
      </c>
      <c r="GW45" s="61" t="str">
        <f t="shared" si="38"/>
        <v/>
      </c>
      <c r="GX45" s="61" t="str">
        <f t="shared" si="39"/>
        <v/>
      </c>
      <c r="GY45" s="61" t="str">
        <f t="shared" si="40"/>
        <v/>
      </c>
      <c r="GZ45" s="61" t="str">
        <f t="shared" si="41"/>
        <v/>
      </c>
      <c r="HA45" s="61" t="str">
        <f t="shared" si="42"/>
        <v/>
      </c>
      <c r="HB45" s="61" t="str">
        <f t="shared" si="43"/>
        <v/>
      </c>
      <c r="HC45" s="61" t="str">
        <f t="shared" si="44"/>
        <v/>
      </c>
      <c r="HD45" s="61" t="str">
        <f t="shared" si="45"/>
        <v/>
      </c>
      <c r="HE45" s="61" t="str">
        <f t="shared" si="46"/>
        <v/>
      </c>
      <c r="HF45" s="61" t="str">
        <f t="shared" si="47"/>
        <v/>
      </c>
      <c r="HG45" s="61" t="str">
        <f t="shared" si="48"/>
        <v/>
      </c>
      <c r="HH45" s="61" t="str">
        <f t="shared" si="49"/>
        <v/>
      </c>
      <c r="HI45" s="61" t="str">
        <f t="shared" si="50"/>
        <v/>
      </c>
      <c r="HJ45" s="61" t="str">
        <f t="shared" si="51"/>
        <v>x</v>
      </c>
      <c r="HK45" s="61" t="str">
        <f t="shared" si="52"/>
        <v/>
      </c>
      <c r="HL45" s="61" t="str">
        <f t="shared" si="53"/>
        <v/>
      </c>
      <c r="HM45" s="61" t="str">
        <f t="shared" si="54"/>
        <v/>
      </c>
      <c r="HN45" s="61" t="str">
        <f t="shared" si="55"/>
        <v/>
      </c>
      <c r="HO45" s="61" t="str">
        <f t="shared" si="56"/>
        <v>x</v>
      </c>
      <c r="HP45" s="61" t="str">
        <f t="shared" si="57"/>
        <v/>
      </c>
      <c r="HQ45" s="61" t="str">
        <f t="shared" si="58"/>
        <v/>
      </c>
      <c r="HR45" s="61" t="str">
        <f t="shared" si="59"/>
        <v/>
      </c>
      <c r="HS45" s="61" t="str">
        <f t="shared" si="60"/>
        <v/>
      </c>
      <c r="HT45" s="61" t="str">
        <f t="shared" si="61"/>
        <v/>
      </c>
      <c r="HU45" s="61" t="str">
        <f t="shared" si="62"/>
        <v>x</v>
      </c>
      <c r="HV45" s="61" t="str">
        <f t="shared" si="63"/>
        <v/>
      </c>
      <c r="HW45" s="61" t="str">
        <f t="shared" si="64"/>
        <v/>
      </c>
      <c r="HX45" s="61" t="str">
        <f t="shared" si="65"/>
        <v/>
      </c>
      <c r="HY45" s="61" t="str">
        <f t="shared" si="66"/>
        <v/>
      </c>
      <c r="HZ45" s="61" t="str">
        <f t="shared" si="67"/>
        <v/>
      </c>
    </row>
    <row r="46" ht="1.5" customHeight="1">
      <c r="A46" s="49" t="s">
        <v>713</v>
      </c>
      <c r="B46" s="95" t="s">
        <v>714</v>
      </c>
      <c r="C46" s="117" t="s">
        <v>715</v>
      </c>
      <c r="D46" s="95" t="s">
        <v>209</v>
      </c>
      <c r="E46" s="96" t="str">
        <f t="shared" si="3"/>
        <v/>
      </c>
      <c r="F46" s="95" t="s">
        <v>210</v>
      </c>
      <c r="G46" s="95" t="s">
        <v>211</v>
      </c>
      <c r="H46" s="95">
        <v>2008.0</v>
      </c>
      <c r="I46" s="7"/>
      <c r="J46" s="95" t="s">
        <v>716</v>
      </c>
      <c r="K46" s="97">
        <f t="shared" ref="K46:K50" si="204">if(AND(D46="Aysu", F46="Vahid"), 1, "")</f>
        <v>1</v>
      </c>
      <c r="L46" s="97" t="str">
        <f t="shared" ref="L46:L50" si="205">if(AND(D46="Aysu", F46="Ali"), 1, "")</f>
        <v/>
      </c>
      <c r="M46" s="97" t="str">
        <f t="shared" ref="M46:M50" si="206">if(AND(D46="Vahid", F46="Aysu"), 1, "")</f>
        <v/>
      </c>
      <c r="N46" s="97" t="str">
        <f t="shared" ref="N46:N50" si="207">if(AND(D46="Vahid", F46="Ali"), 1, "")</f>
        <v/>
      </c>
      <c r="O46" s="97" t="str">
        <f t="shared" ref="O46:O50" si="208">if(AND(D46="Ali", F46="Vahid"), 1, "")</f>
        <v/>
      </c>
      <c r="P46" s="97" t="str">
        <f t="shared" ref="P46:P50" si="209">if(AND(D46="Ali", F46="Aysu"), 1, "")</f>
        <v/>
      </c>
      <c r="Q46" s="97" t="b">
        <f t="shared" si="105"/>
        <v>1</v>
      </c>
      <c r="R46" s="97" t="b">
        <f t="shared" ref="R46:R50" si="210">SUM(S46:U46)&gt;=2</f>
        <v>1</v>
      </c>
      <c r="S46" s="95">
        <v>1.0</v>
      </c>
      <c r="T46" s="95">
        <v>1.0</v>
      </c>
      <c r="U46" s="95">
        <v>1.0</v>
      </c>
      <c r="V46" s="97" t="b">
        <f t="shared" ref="V46:V50" si="211">SUM(W46:Y46)&gt;=2</f>
        <v>1</v>
      </c>
      <c r="W46" s="95">
        <v>1.0</v>
      </c>
      <c r="X46" s="95">
        <v>1.0</v>
      </c>
      <c r="Y46" s="95">
        <v>1.0</v>
      </c>
      <c r="Z46" s="95" t="s">
        <v>717</v>
      </c>
      <c r="AA46" s="97" t="str">
        <f t="shared" ref="AA46:AA50" si="212">iferror(if(find("Pollock", AC46)&gt;0,concat(J46,", "), ""))</f>
        <v/>
      </c>
      <c r="AB46" s="97" t="str">
        <f t="shared" ref="AB46:AB50" si="213">if(GI46="x",concat(J46,", "), "")</f>
        <v/>
      </c>
      <c r="AC46" s="98" t="s">
        <v>718</v>
      </c>
      <c r="AD46" s="95" t="s">
        <v>719</v>
      </c>
      <c r="AE46" s="7"/>
      <c r="AF46" s="97">
        <f>countif('Charts-SLR'!A:A,AD46)</f>
        <v>1</v>
      </c>
      <c r="AG46" s="95" t="s">
        <v>720</v>
      </c>
      <c r="AH46" s="97">
        <f t="shared" ref="AH46:AH50" si="214">countif({},AG46)</f>
        <v>0</v>
      </c>
      <c r="AI46" s="95" t="s">
        <v>216</v>
      </c>
      <c r="AJ46" s="95">
        <v>11.0</v>
      </c>
      <c r="AK46" s="99">
        <f t="shared" ref="AK46:AK50" si="215">AJ46/(2012-H46)</f>
        <v>2.75</v>
      </c>
      <c r="AL46" s="97" t="str">
        <f t="shared" ref="AL46:AL50" si="216">if(AI46="J",AJ46,"")</f>
        <v/>
      </c>
      <c r="AM46" s="97" t="str">
        <f t="shared" ref="AM46:AM50" si="217">if(AI46="C",AJ46,"")</f>
        <v/>
      </c>
      <c r="AN46" s="97">
        <f t="shared" ref="AN46:AN50" si="218">if(AI46="W", AJ46,"")</f>
        <v>11</v>
      </c>
      <c r="AO46" s="97" t="str">
        <f t="shared" ref="AO46:AO50" si="219">if(AI46="M",AJ46,"")</f>
        <v/>
      </c>
      <c r="AP46" s="97" t="str">
        <f t="shared" ref="AP46:AP50" si="220">if(AI46="S",AJ46,"")</f>
        <v/>
      </c>
      <c r="AQ46" s="97" t="str">
        <f t="shared" ref="AQ46:AQ50" si="221">if(BH46="x",concat(J46,", "), "")</f>
        <v/>
      </c>
      <c r="AR46" s="100"/>
      <c r="AS46" s="100"/>
      <c r="AT46" s="100"/>
      <c r="AU46" s="100"/>
      <c r="AV46" s="100"/>
      <c r="AW46" s="100"/>
      <c r="AX46" s="100"/>
      <c r="AY46" s="100"/>
      <c r="AZ46" s="100"/>
      <c r="BA46" s="100"/>
      <c r="BB46" s="101" t="str">
        <f t="shared" si="106"/>
        <v>ERR</v>
      </c>
      <c r="BC46" s="102" t="s">
        <v>217</v>
      </c>
      <c r="BD46" s="102" t="s">
        <v>217</v>
      </c>
      <c r="BE46" s="100"/>
      <c r="BF46" s="100"/>
      <c r="BG46" s="100"/>
      <c r="BH46" s="100"/>
      <c r="BI46" s="103">
        <f t="shared" ref="BI46:BI50" si="222">COUNTA(BC46:BH46)</f>
        <v>2</v>
      </c>
      <c r="BJ46" s="100"/>
      <c r="BK46" s="100"/>
      <c r="BL46" s="100"/>
      <c r="BM46" s="100"/>
      <c r="BN46" s="100"/>
      <c r="BO46" s="102" t="s">
        <v>217</v>
      </c>
      <c r="BP46" s="100"/>
      <c r="BQ46" s="100"/>
      <c r="BR46" s="100"/>
      <c r="BS46" s="100"/>
      <c r="BT46" s="100"/>
      <c r="BU46" s="74"/>
      <c r="BV46" s="102" t="s">
        <v>217</v>
      </c>
      <c r="BW46" s="100"/>
      <c r="BX46" s="100"/>
      <c r="BY46" s="100"/>
      <c r="BZ46" s="102" t="s">
        <v>217</v>
      </c>
      <c r="CA46" s="102" t="s">
        <v>217</v>
      </c>
      <c r="CB46" s="102" t="s">
        <v>217</v>
      </c>
      <c r="CC46" s="100"/>
      <c r="CD46" s="100"/>
      <c r="CE46" s="100"/>
      <c r="CF46" s="100"/>
      <c r="CG46" s="102" t="s">
        <v>217</v>
      </c>
      <c r="CH46" s="100"/>
      <c r="CI46" s="103" t="str">
        <f t="shared" si="201"/>
        <v/>
      </c>
      <c r="CJ46" s="103">
        <f t="shared" ref="CJ46:CJ50" si="223">if(CG46="x", 1, if(CH46="x", 2, 3))</f>
        <v>1</v>
      </c>
      <c r="CK46" s="100"/>
      <c r="CL46" s="100"/>
      <c r="CM46" s="102" t="s">
        <v>217</v>
      </c>
      <c r="CN46" s="100"/>
      <c r="CO46" s="100"/>
      <c r="CP46" s="100"/>
      <c r="CQ46" s="100"/>
      <c r="CR46" s="7"/>
      <c r="CS46" s="95" t="s">
        <v>217</v>
      </c>
      <c r="CT46" s="7"/>
      <c r="CU46" s="7"/>
      <c r="CV46" s="7"/>
      <c r="CW46" s="7"/>
      <c r="CX46" s="7"/>
      <c r="CY46" s="7"/>
      <c r="CZ46" s="7"/>
      <c r="DA46" s="7"/>
      <c r="DB46" s="7"/>
      <c r="DC46" s="7"/>
      <c r="DD46" s="95" t="s">
        <v>217</v>
      </c>
      <c r="DE46" s="7"/>
      <c r="DF46" s="7"/>
      <c r="DG46" s="97">
        <f t="shared" si="108"/>
        <v>1</v>
      </c>
      <c r="DH46" s="95" t="s">
        <v>217</v>
      </c>
      <c r="DI46" s="7"/>
      <c r="DJ46" s="95" t="s">
        <v>217</v>
      </c>
      <c r="DK46" s="7"/>
      <c r="DL46" s="7"/>
      <c r="DM46" s="97">
        <f t="shared" ref="DM46:DM50" si="224">counta(DH46:DL46)</f>
        <v>2</v>
      </c>
      <c r="DN46" s="95" t="s">
        <v>217</v>
      </c>
      <c r="DO46" s="95" t="s">
        <v>217</v>
      </c>
      <c r="DP46" s="97" t="str">
        <f t="shared" si="109"/>
        <v>both</v>
      </c>
      <c r="DQ46" s="97" t="str">
        <f t="shared" si="110"/>
        <v/>
      </c>
      <c r="DR46" s="97" t="str">
        <f t="shared" si="111"/>
        <v/>
      </c>
      <c r="DS46" s="100"/>
      <c r="DT46" s="100"/>
      <c r="DU46" s="100"/>
      <c r="DV46" s="100"/>
      <c r="DW46" s="100"/>
      <c r="DX46" s="100"/>
      <c r="DY46" s="103">
        <f t="shared" si="29"/>
        <v>0</v>
      </c>
      <c r="DZ46" s="100"/>
      <c r="EA46" s="100"/>
      <c r="EB46" s="100"/>
      <c r="EC46" s="100"/>
      <c r="ED46" s="100"/>
      <c r="EE46" s="103">
        <f t="shared" si="30"/>
        <v>0</v>
      </c>
      <c r="EF46" s="103" t="str">
        <f t="shared" si="70"/>
        <v/>
      </c>
      <c r="EG46" s="97" t="str">
        <f t="shared" si="31"/>
        <v/>
      </c>
      <c r="EH46" s="7"/>
      <c r="EI46" s="7"/>
      <c r="EJ46" s="100"/>
      <c r="EK46" s="100"/>
      <c r="EL46" s="100"/>
      <c r="EM46" s="100"/>
      <c r="EN46" s="7"/>
      <c r="EO46" s="7"/>
      <c r="EP46" s="7"/>
      <c r="EQ46" s="7"/>
      <c r="ER46" s="7"/>
      <c r="ES46" s="7"/>
      <c r="ET46" s="100"/>
      <c r="EU46" s="100"/>
      <c r="EV46" s="100"/>
      <c r="EW46" s="100"/>
      <c r="EX46" s="100"/>
      <c r="EY46" s="7"/>
      <c r="EZ46" s="7"/>
      <c r="FA46" s="7"/>
      <c r="FB46" s="7"/>
      <c r="FC46" s="7"/>
      <c r="FD46" s="7"/>
      <c r="FE46" s="97" t="str">
        <f t="shared" si="32"/>
        <v/>
      </c>
      <c r="FF46" s="7"/>
      <c r="FG46" s="7"/>
      <c r="FH46" s="7"/>
      <c r="FI46" s="7"/>
      <c r="FJ46" s="7"/>
      <c r="FK46" s="7"/>
      <c r="FL46" s="7"/>
      <c r="FM46" s="7"/>
      <c r="FN46" s="7"/>
      <c r="FO46" s="7"/>
      <c r="FP46" s="95" t="s">
        <v>217</v>
      </c>
      <c r="FQ46" s="97" t="str">
        <f t="shared" ref="FQ46:FQ50" si="225">if(and(FO46="",FP46=""), "both", "")</f>
        <v/>
      </c>
      <c r="FR46" s="95" t="s">
        <v>217</v>
      </c>
      <c r="FS46" s="7"/>
      <c r="FT46" s="97" t="str">
        <f t="shared" ref="FT46:FT50" si="226">if(and(FS46="x",FR46="x"), "both", "")</f>
        <v/>
      </c>
      <c r="FU46" s="97" t="str">
        <f t="shared" ref="FU46:FU50" si="227">if(and(FR46="",FS46=""), "none", "")</f>
        <v/>
      </c>
      <c r="FV46" s="100"/>
      <c r="FW46" s="95" t="s">
        <v>217</v>
      </c>
      <c r="FX46" s="95" t="s">
        <v>217</v>
      </c>
      <c r="FY46" s="7"/>
      <c r="FZ46" s="7"/>
      <c r="GA46" s="7"/>
      <c r="GB46" s="7"/>
      <c r="GC46" s="95" t="s">
        <v>217</v>
      </c>
      <c r="GD46" s="7"/>
      <c r="GE46" s="7"/>
      <c r="GF46" s="7"/>
      <c r="GG46" s="7"/>
      <c r="GH46" s="7"/>
      <c r="GI46" s="7"/>
      <c r="GJ46" s="7"/>
      <c r="GK46" s="7"/>
      <c r="GL46" s="95" t="s">
        <v>721</v>
      </c>
      <c r="GM46" s="7"/>
      <c r="GN46" s="95">
        <v>1.0</v>
      </c>
      <c r="GO46" s="95" t="s">
        <v>722</v>
      </c>
      <c r="GP46" s="121"/>
      <c r="GQ46" s="95" t="s">
        <v>723</v>
      </c>
      <c r="GR46" s="7"/>
      <c r="GS46" s="95" t="s">
        <v>217</v>
      </c>
      <c r="GT46" s="7"/>
      <c r="GU46" s="61" t="str">
        <f t="shared" si="36"/>
        <v/>
      </c>
      <c r="GV46" s="61" t="str">
        <f t="shared" si="37"/>
        <v/>
      </c>
      <c r="GW46" s="61" t="str">
        <f t="shared" si="38"/>
        <v/>
      </c>
      <c r="GX46" s="61" t="str">
        <f t="shared" si="39"/>
        <v/>
      </c>
      <c r="GY46" s="61" t="str">
        <f t="shared" si="40"/>
        <v/>
      </c>
      <c r="GZ46" s="61" t="str">
        <f t="shared" si="41"/>
        <v/>
      </c>
      <c r="HA46" s="61" t="str">
        <f t="shared" si="42"/>
        <v/>
      </c>
      <c r="HB46" s="61" t="str">
        <f t="shared" si="43"/>
        <v/>
      </c>
      <c r="HC46" s="61" t="str">
        <f t="shared" si="44"/>
        <v>x</v>
      </c>
      <c r="HD46" s="61" t="str">
        <f t="shared" si="45"/>
        <v/>
      </c>
      <c r="HE46" s="61" t="str">
        <f t="shared" si="46"/>
        <v/>
      </c>
      <c r="HF46" s="61" t="str">
        <f t="shared" si="47"/>
        <v/>
      </c>
      <c r="HG46" s="61" t="str">
        <f t="shared" si="48"/>
        <v/>
      </c>
      <c r="HH46" s="61" t="str">
        <f t="shared" si="49"/>
        <v/>
      </c>
      <c r="HI46" s="61" t="str">
        <f t="shared" si="50"/>
        <v/>
      </c>
      <c r="HJ46" s="61" t="str">
        <f t="shared" si="51"/>
        <v/>
      </c>
      <c r="HK46" s="61" t="str">
        <f t="shared" si="52"/>
        <v/>
      </c>
      <c r="HL46" s="61" t="str">
        <f t="shared" si="53"/>
        <v/>
      </c>
      <c r="HM46" s="61" t="str">
        <f t="shared" si="54"/>
        <v/>
      </c>
      <c r="HN46" s="61" t="str">
        <f t="shared" si="55"/>
        <v/>
      </c>
      <c r="HO46" s="61" t="str">
        <f t="shared" si="56"/>
        <v/>
      </c>
      <c r="HP46" s="61" t="str">
        <f t="shared" si="57"/>
        <v/>
      </c>
      <c r="HQ46" s="61" t="str">
        <f t="shared" si="58"/>
        <v/>
      </c>
      <c r="HR46" s="61" t="str">
        <f t="shared" si="59"/>
        <v/>
      </c>
      <c r="HS46" s="61" t="str">
        <f t="shared" si="60"/>
        <v/>
      </c>
      <c r="HT46" s="61" t="str">
        <f t="shared" si="61"/>
        <v/>
      </c>
      <c r="HU46" s="61" t="str">
        <f t="shared" si="62"/>
        <v/>
      </c>
      <c r="HV46" s="61" t="str">
        <f t="shared" si="63"/>
        <v/>
      </c>
      <c r="HW46" s="61" t="str">
        <f t="shared" si="64"/>
        <v/>
      </c>
      <c r="HX46" s="61" t="str">
        <f t="shared" si="65"/>
        <v/>
      </c>
      <c r="HY46" s="61" t="str">
        <f t="shared" si="66"/>
        <v/>
      </c>
      <c r="HZ46" s="61" t="str">
        <f t="shared" si="67"/>
        <v/>
      </c>
    </row>
    <row r="47" ht="1.5" customHeight="1">
      <c r="A47" s="49" t="s">
        <v>724</v>
      </c>
      <c r="B47" s="80" t="s">
        <v>725</v>
      </c>
      <c r="C47" s="113" t="s">
        <v>726</v>
      </c>
      <c r="D47" s="80" t="s">
        <v>245</v>
      </c>
      <c r="E47" s="107">
        <f t="shared" si="3"/>
        <v>2</v>
      </c>
      <c r="F47" s="80" t="s">
        <v>210</v>
      </c>
      <c r="G47" s="80" t="s">
        <v>211</v>
      </c>
      <c r="H47" s="80">
        <v>2007.0</v>
      </c>
      <c r="J47" s="80" t="s">
        <v>727</v>
      </c>
      <c r="K47" s="61" t="str">
        <f t="shared" si="204"/>
        <v/>
      </c>
      <c r="L47" s="61" t="str">
        <f t="shared" si="205"/>
        <v/>
      </c>
      <c r="M47" s="61" t="str">
        <f t="shared" si="206"/>
        <v/>
      </c>
      <c r="N47" s="61" t="str">
        <f t="shared" si="207"/>
        <v/>
      </c>
      <c r="O47" s="61">
        <f t="shared" si="208"/>
        <v>1</v>
      </c>
      <c r="P47" s="61" t="str">
        <f t="shared" si="209"/>
        <v/>
      </c>
      <c r="Q47" s="61" t="b">
        <f t="shared" si="105"/>
        <v>1</v>
      </c>
      <c r="R47" s="61" t="b">
        <f t="shared" si="210"/>
        <v>1</v>
      </c>
      <c r="S47" s="80">
        <v>1.0</v>
      </c>
      <c r="T47" s="80">
        <v>1.0</v>
      </c>
      <c r="U47" s="80">
        <v>1.0</v>
      </c>
      <c r="V47" s="61" t="b">
        <f t="shared" si="211"/>
        <v>1</v>
      </c>
      <c r="W47" s="80">
        <v>1.0</v>
      </c>
      <c r="X47" s="80">
        <v>1.0</v>
      </c>
      <c r="Y47" s="80">
        <v>1.0</v>
      </c>
      <c r="AA47" s="61" t="str">
        <f t="shared" si="212"/>
        <v/>
      </c>
      <c r="AB47" s="61" t="str">
        <f t="shared" si="213"/>
        <v/>
      </c>
      <c r="AC47" s="114" t="s">
        <v>728</v>
      </c>
      <c r="AD47" s="80" t="s">
        <v>266</v>
      </c>
      <c r="AF47" s="61">
        <f>countif('Charts-SLR'!A:A,AD47)</f>
        <v>1</v>
      </c>
      <c r="AG47" s="80" t="s">
        <v>400</v>
      </c>
      <c r="AH47" s="61">
        <f t="shared" si="214"/>
        <v>0</v>
      </c>
      <c r="AI47" s="80" t="s">
        <v>250</v>
      </c>
      <c r="AJ47" s="80">
        <v>48.0</v>
      </c>
      <c r="AK47" s="108">
        <f t="shared" si="215"/>
        <v>9.6</v>
      </c>
      <c r="AL47" s="61" t="str">
        <f t="shared" si="216"/>
        <v/>
      </c>
      <c r="AM47" s="61">
        <f t="shared" si="217"/>
        <v>48</v>
      </c>
      <c r="AN47" s="61" t="str">
        <f t="shared" si="218"/>
        <v/>
      </c>
      <c r="AO47" s="61" t="str">
        <f t="shared" si="219"/>
        <v/>
      </c>
      <c r="AP47" s="61" t="str">
        <f t="shared" si="220"/>
        <v/>
      </c>
      <c r="AQ47" s="61" t="str">
        <f t="shared" si="221"/>
        <v/>
      </c>
      <c r="AR47" s="73" t="s">
        <v>217</v>
      </c>
      <c r="AS47" s="74"/>
      <c r="AT47" s="74"/>
      <c r="AU47" s="74"/>
      <c r="AV47" s="74"/>
      <c r="AW47" s="74"/>
      <c r="AX47" s="74"/>
      <c r="AY47" s="74"/>
      <c r="AZ47" s="74"/>
      <c r="BA47" s="74"/>
      <c r="BB47" s="109" t="str">
        <f t="shared" si="106"/>
        <v>ERR</v>
      </c>
      <c r="BC47" s="73" t="s">
        <v>217</v>
      </c>
      <c r="BD47" s="73" t="s">
        <v>217</v>
      </c>
      <c r="BE47" s="74"/>
      <c r="BF47" s="73" t="s">
        <v>217</v>
      </c>
      <c r="BG47" s="74"/>
      <c r="BH47" s="74"/>
      <c r="BI47" s="110">
        <f t="shared" si="222"/>
        <v>3</v>
      </c>
      <c r="BJ47" s="74"/>
      <c r="BK47" s="74"/>
      <c r="BL47" s="74"/>
      <c r="BM47" s="74"/>
      <c r="BN47" s="74"/>
      <c r="BO47" s="74"/>
      <c r="BP47" s="73" t="s">
        <v>217</v>
      </c>
      <c r="BQ47" s="74"/>
      <c r="BR47" s="74"/>
      <c r="BS47" s="74"/>
      <c r="BT47" s="74"/>
      <c r="BU47" s="74"/>
      <c r="BV47" s="74"/>
      <c r="BW47" s="73" t="s">
        <v>217</v>
      </c>
      <c r="BX47" s="74"/>
      <c r="BY47" s="73" t="s">
        <v>217</v>
      </c>
      <c r="BZ47" s="74"/>
      <c r="CA47" s="74"/>
      <c r="CB47" s="74"/>
      <c r="CC47" s="74"/>
      <c r="CD47" s="74"/>
      <c r="CE47" s="74"/>
      <c r="CF47" s="74"/>
      <c r="CG47" s="74"/>
      <c r="CH47" s="73" t="s">
        <v>217</v>
      </c>
      <c r="CI47" s="110" t="str">
        <f t="shared" si="201"/>
        <v/>
      </c>
      <c r="CJ47" s="110">
        <f t="shared" si="223"/>
        <v>2</v>
      </c>
      <c r="CK47" s="73" t="s">
        <v>217</v>
      </c>
      <c r="CL47" s="74"/>
      <c r="CM47" s="74"/>
      <c r="CN47" s="73" t="s">
        <v>217</v>
      </c>
      <c r="CO47" s="74"/>
      <c r="CP47" s="74"/>
      <c r="CQ47" s="74"/>
      <c r="CX47" s="80" t="s">
        <v>217</v>
      </c>
      <c r="DG47" s="61">
        <f t="shared" si="108"/>
        <v>1</v>
      </c>
      <c r="DI47" s="80" t="s">
        <v>217</v>
      </c>
      <c r="DM47" s="61">
        <f t="shared" si="224"/>
        <v>1</v>
      </c>
      <c r="DO47" s="80" t="s">
        <v>217</v>
      </c>
      <c r="DP47" s="61" t="str">
        <f t="shared" si="109"/>
        <v/>
      </c>
      <c r="DQ47" s="61" t="str">
        <f t="shared" si="110"/>
        <v/>
      </c>
      <c r="DR47" s="61" t="str">
        <f t="shared" si="111"/>
        <v>FA</v>
      </c>
      <c r="DS47" s="73" t="s">
        <v>729</v>
      </c>
      <c r="DT47" s="74"/>
      <c r="DU47" s="73" t="s">
        <v>466</v>
      </c>
      <c r="DV47" s="74"/>
      <c r="DW47" s="74"/>
      <c r="DX47" s="80" t="s">
        <v>730</v>
      </c>
      <c r="DY47" s="110">
        <f t="shared" si="29"/>
        <v>3</v>
      </c>
      <c r="DZ47" s="74"/>
      <c r="EA47" s="74"/>
      <c r="EB47" s="74"/>
      <c r="EC47" s="74"/>
      <c r="ED47" s="74"/>
      <c r="EE47" s="110">
        <f t="shared" si="30"/>
        <v>0</v>
      </c>
      <c r="EF47" s="110" t="str">
        <f t="shared" si="70"/>
        <v/>
      </c>
      <c r="EG47" s="61" t="str">
        <f t="shared" si="31"/>
        <v/>
      </c>
      <c r="EI47" s="80" t="s">
        <v>731</v>
      </c>
      <c r="EJ47" s="74"/>
      <c r="EK47" s="74"/>
      <c r="EL47" s="74"/>
      <c r="EM47" s="74"/>
      <c r="EO47" s="80" t="s">
        <v>217</v>
      </c>
      <c r="ES47" s="80" t="s">
        <v>732</v>
      </c>
      <c r="ET47" s="73">
        <v>2.0</v>
      </c>
      <c r="EU47" s="74"/>
      <c r="EV47" s="74"/>
      <c r="EW47" s="74"/>
      <c r="EX47" s="74"/>
      <c r="EZ47" s="80" t="s">
        <v>733</v>
      </c>
      <c r="FA47" s="80" t="s">
        <v>734</v>
      </c>
      <c r="FB47" s="80" t="s">
        <v>735</v>
      </c>
      <c r="FD47" s="80" t="s">
        <v>256</v>
      </c>
      <c r="FE47" s="97">
        <f t="shared" si="32"/>
        <v>3</v>
      </c>
      <c r="FF47" s="80">
        <v>1.0</v>
      </c>
      <c r="FG47" s="80">
        <v>1.0</v>
      </c>
      <c r="FH47" s="80">
        <v>0.5</v>
      </c>
      <c r="FI47" s="61">
        <f t="shared" ref="FI47:FI54" si="228">sum(FF47:FH47)</f>
        <v>2.5</v>
      </c>
      <c r="FJ47" s="80">
        <v>0.0</v>
      </c>
      <c r="FK47" s="80">
        <v>0.0</v>
      </c>
      <c r="FL47" s="80" t="s">
        <v>189</v>
      </c>
      <c r="FM47" s="61" t="str">
        <f t="shared" ref="FM47:FM50" si="229">if(GP47&lt;1000, "0", if(GP47&lt;10000, "0.5","1"))</f>
        <v>1</v>
      </c>
      <c r="FN47" s="61">
        <f t="shared" ref="FN47:FN54" si="230">sum(FJ47:FM47)</f>
        <v>0</v>
      </c>
      <c r="FP47" s="80" t="s">
        <v>217</v>
      </c>
      <c r="FQ47" s="61" t="str">
        <f t="shared" si="225"/>
        <v/>
      </c>
      <c r="FR47" s="80" t="s">
        <v>217</v>
      </c>
      <c r="FT47" s="61" t="str">
        <f t="shared" si="226"/>
        <v/>
      </c>
      <c r="FU47" s="61" t="str">
        <f t="shared" si="227"/>
        <v/>
      </c>
      <c r="FV47" s="74"/>
      <c r="FZ47" s="80" t="s">
        <v>217</v>
      </c>
      <c r="GL47" s="80" t="s">
        <v>736</v>
      </c>
      <c r="GN47" s="80">
        <v>7.0</v>
      </c>
      <c r="GO47" s="80" t="s">
        <v>737</v>
      </c>
      <c r="GP47" s="112">
        <v>68971.0</v>
      </c>
      <c r="GQ47" s="80" t="s">
        <v>738</v>
      </c>
      <c r="GR47" s="80" t="s">
        <v>217</v>
      </c>
      <c r="GT47" s="80" t="s">
        <v>217</v>
      </c>
      <c r="GU47" s="61" t="str">
        <f t="shared" si="36"/>
        <v/>
      </c>
      <c r="GV47" s="61" t="str">
        <f t="shared" si="37"/>
        <v/>
      </c>
      <c r="GW47" s="61" t="str">
        <f t="shared" si="38"/>
        <v/>
      </c>
      <c r="GX47" s="61" t="str">
        <f t="shared" si="39"/>
        <v/>
      </c>
      <c r="GY47" s="61" t="str">
        <f t="shared" si="40"/>
        <v/>
      </c>
      <c r="GZ47" s="61" t="str">
        <f t="shared" si="41"/>
        <v/>
      </c>
      <c r="HA47" s="61" t="str">
        <f t="shared" si="42"/>
        <v/>
      </c>
      <c r="HB47" s="61" t="str">
        <f t="shared" si="43"/>
        <v/>
      </c>
      <c r="HC47" s="61" t="str">
        <f t="shared" si="44"/>
        <v/>
      </c>
      <c r="HD47" s="61" t="str">
        <f t="shared" si="45"/>
        <v/>
      </c>
      <c r="HE47" s="61" t="str">
        <f t="shared" si="46"/>
        <v/>
      </c>
      <c r="HF47" s="61" t="str">
        <f t="shared" si="47"/>
        <v/>
      </c>
      <c r="HG47" s="61" t="str">
        <f t="shared" si="48"/>
        <v/>
      </c>
      <c r="HH47" s="61" t="str">
        <f t="shared" si="49"/>
        <v/>
      </c>
      <c r="HI47" s="61" t="str">
        <f t="shared" si="50"/>
        <v/>
      </c>
      <c r="HJ47" s="61" t="str">
        <f t="shared" si="51"/>
        <v/>
      </c>
      <c r="HK47" s="61" t="str">
        <f t="shared" si="52"/>
        <v/>
      </c>
      <c r="HL47" s="61" t="str">
        <f t="shared" si="53"/>
        <v/>
      </c>
      <c r="HM47" s="61" t="str">
        <f t="shared" si="54"/>
        <v/>
      </c>
      <c r="HN47" s="61" t="str">
        <f t="shared" si="55"/>
        <v/>
      </c>
      <c r="HO47" s="61" t="str">
        <f t="shared" si="56"/>
        <v/>
      </c>
      <c r="HP47" s="61" t="str">
        <f t="shared" si="57"/>
        <v/>
      </c>
      <c r="HQ47" s="61" t="str">
        <f t="shared" si="58"/>
        <v>x</v>
      </c>
      <c r="HR47" s="61" t="str">
        <f t="shared" si="59"/>
        <v/>
      </c>
      <c r="HS47" s="61" t="str">
        <f t="shared" si="60"/>
        <v/>
      </c>
      <c r="HT47" s="61" t="str">
        <f t="shared" si="61"/>
        <v/>
      </c>
      <c r="HU47" s="61" t="str">
        <f t="shared" si="62"/>
        <v/>
      </c>
      <c r="HV47" s="61" t="str">
        <f t="shared" si="63"/>
        <v/>
      </c>
      <c r="HW47" s="61" t="str">
        <f t="shared" si="64"/>
        <v/>
      </c>
      <c r="HX47" s="61" t="str">
        <f t="shared" si="65"/>
        <v/>
      </c>
      <c r="HY47" s="61" t="str">
        <f t="shared" si="66"/>
        <v/>
      </c>
      <c r="HZ47" s="61" t="str">
        <f t="shared" si="67"/>
        <v/>
      </c>
    </row>
    <row r="48" ht="1.5" customHeight="1">
      <c r="A48" s="49" t="s">
        <v>739</v>
      </c>
      <c r="B48" s="80" t="s">
        <v>740</v>
      </c>
      <c r="C48" s="113" t="s">
        <v>741</v>
      </c>
      <c r="D48" s="80" t="s">
        <v>210</v>
      </c>
      <c r="E48" s="107">
        <f t="shared" si="3"/>
        <v>2</v>
      </c>
      <c r="F48" s="80" t="s">
        <v>245</v>
      </c>
      <c r="G48" s="80" t="s">
        <v>211</v>
      </c>
      <c r="H48" s="80">
        <v>2009.0</v>
      </c>
      <c r="J48" s="80" t="s">
        <v>742</v>
      </c>
      <c r="K48" s="61" t="str">
        <f t="shared" si="204"/>
        <v/>
      </c>
      <c r="L48" s="61" t="str">
        <f t="shared" si="205"/>
        <v/>
      </c>
      <c r="M48" s="61" t="str">
        <f t="shared" si="206"/>
        <v/>
      </c>
      <c r="N48" s="61">
        <f t="shared" si="207"/>
        <v>1</v>
      </c>
      <c r="O48" s="61" t="str">
        <f t="shared" si="208"/>
        <v/>
      </c>
      <c r="P48" s="61" t="str">
        <f t="shared" si="209"/>
        <v/>
      </c>
      <c r="Q48" s="61" t="b">
        <f t="shared" si="105"/>
        <v>1</v>
      </c>
      <c r="R48" s="61" t="b">
        <f t="shared" si="210"/>
        <v>1</v>
      </c>
      <c r="S48" s="80">
        <v>1.0</v>
      </c>
      <c r="T48" s="80">
        <v>1.0</v>
      </c>
      <c r="U48" s="80">
        <v>1.0</v>
      </c>
      <c r="V48" s="61" t="b">
        <f t="shared" si="211"/>
        <v>1</v>
      </c>
      <c r="W48" s="80">
        <v>1.0</v>
      </c>
      <c r="X48" s="80">
        <v>1.0</v>
      </c>
      <c r="Y48" s="80">
        <v>1.0</v>
      </c>
      <c r="AA48" s="61" t="str">
        <f t="shared" si="212"/>
        <v/>
      </c>
      <c r="AB48" s="61" t="str">
        <f t="shared" si="213"/>
        <v/>
      </c>
      <c r="AC48" s="114" t="s">
        <v>743</v>
      </c>
      <c r="AD48" s="80" t="s">
        <v>214</v>
      </c>
      <c r="AF48" s="61">
        <f>countif('Charts-SLR'!A:A,AD48)</f>
        <v>1</v>
      </c>
      <c r="AG48" s="80" t="s">
        <v>215</v>
      </c>
      <c r="AH48" s="61">
        <f t="shared" si="214"/>
        <v>0</v>
      </c>
      <c r="AI48" s="80" t="s">
        <v>268</v>
      </c>
      <c r="AJ48" s="80">
        <v>1.0</v>
      </c>
      <c r="AK48" s="108">
        <f t="shared" si="215"/>
        <v>0.3333333333</v>
      </c>
      <c r="AL48" s="61" t="str">
        <f t="shared" si="216"/>
        <v/>
      </c>
      <c r="AM48" s="61" t="str">
        <f t="shared" si="217"/>
        <v/>
      </c>
      <c r="AN48" s="61" t="str">
        <f t="shared" si="218"/>
        <v/>
      </c>
      <c r="AO48" s="61" t="str">
        <f t="shared" si="219"/>
        <v/>
      </c>
      <c r="AP48" s="61">
        <f t="shared" si="220"/>
        <v>1</v>
      </c>
      <c r="AQ48" s="61" t="str">
        <f t="shared" si="221"/>
        <v/>
      </c>
      <c r="AR48" s="74"/>
      <c r="AS48" s="74"/>
      <c r="AT48" s="74"/>
      <c r="AU48" s="74"/>
      <c r="AV48" s="74"/>
      <c r="AW48" s="74"/>
      <c r="AX48" s="74"/>
      <c r="AY48" s="74"/>
      <c r="AZ48" s="73" t="s">
        <v>217</v>
      </c>
      <c r="BA48" s="74"/>
      <c r="BB48" s="109" t="str">
        <f t="shared" si="106"/>
        <v/>
      </c>
      <c r="BC48" s="74"/>
      <c r="BD48" s="73" t="s">
        <v>217</v>
      </c>
      <c r="BE48" s="74"/>
      <c r="BF48" s="73" t="s">
        <v>217</v>
      </c>
      <c r="BG48" s="74"/>
      <c r="BH48" s="74"/>
      <c r="BI48" s="110">
        <f t="shared" si="222"/>
        <v>2</v>
      </c>
      <c r="BJ48" s="74"/>
      <c r="BK48" s="74"/>
      <c r="BL48" s="74"/>
      <c r="BM48" s="74"/>
      <c r="BN48" s="74"/>
      <c r="BO48" s="74"/>
      <c r="BP48" s="73" t="s">
        <v>217</v>
      </c>
      <c r="BQ48" s="74"/>
      <c r="BR48" s="74"/>
      <c r="BS48" s="74"/>
      <c r="BT48" s="74"/>
      <c r="BU48" s="74"/>
      <c r="BV48" s="73" t="s">
        <v>217</v>
      </c>
      <c r="BW48" s="74"/>
      <c r="BX48" s="74"/>
      <c r="BY48" s="74"/>
      <c r="BZ48" s="74"/>
      <c r="CA48" s="74"/>
      <c r="CB48" s="74"/>
      <c r="CC48" s="74"/>
      <c r="CD48" s="74"/>
      <c r="CE48" s="73" t="s">
        <v>217</v>
      </c>
      <c r="CF48" s="73" t="s">
        <v>744</v>
      </c>
      <c r="CG48" s="73" t="s">
        <v>217</v>
      </c>
      <c r="CH48" s="73" t="s">
        <v>217</v>
      </c>
      <c r="CI48" s="73" t="s">
        <v>217</v>
      </c>
      <c r="CJ48" s="110">
        <f t="shared" si="223"/>
        <v>1</v>
      </c>
      <c r="CK48" s="73" t="s">
        <v>217</v>
      </c>
      <c r="CL48" s="73" t="s">
        <v>217</v>
      </c>
      <c r="CM48" s="73" t="s">
        <v>217</v>
      </c>
      <c r="CN48" s="73" t="s">
        <v>217</v>
      </c>
      <c r="CO48" s="74"/>
      <c r="CP48" s="74"/>
      <c r="CQ48" s="74"/>
      <c r="CX48" s="80" t="s">
        <v>217</v>
      </c>
      <c r="CZ48" s="80" t="s">
        <v>217</v>
      </c>
      <c r="DG48" s="61">
        <f t="shared" si="108"/>
        <v>2</v>
      </c>
      <c r="DL48" s="80" t="s">
        <v>217</v>
      </c>
      <c r="DM48" s="61">
        <f t="shared" si="224"/>
        <v>1</v>
      </c>
      <c r="DO48" s="80" t="s">
        <v>217</v>
      </c>
      <c r="DP48" s="61" t="str">
        <f t="shared" si="109"/>
        <v/>
      </c>
      <c r="DQ48" s="61" t="str">
        <f t="shared" si="110"/>
        <v/>
      </c>
      <c r="DR48" s="61" t="str">
        <f t="shared" si="111"/>
        <v>FA</v>
      </c>
      <c r="DS48" s="74"/>
      <c r="DT48" s="74"/>
      <c r="DU48" s="74"/>
      <c r="DV48" s="74"/>
      <c r="DW48" s="74"/>
      <c r="DX48" s="74"/>
      <c r="DY48" s="110">
        <f t="shared" si="29"/>
        <v>0</v>
      </c>
      <c r="DZ48" s="74"/>
      <c r="EA48" s="74"/>
      <c r="EB48" s="74"/>
      <c r="EC48" s="74"/>
      <c r="ED48" s="74"/>
      <c r="EE48" s="110">
        <f t="shared" si="30"/>
        <v>0</v>
      </c>
      <c r="EF48" s="110" t="str">
        <f t="shared" si="70"/>
        <v/>
      </c>
      <c r="EG48" s="61" t="str">
        <f t="shared" si="31"/>
        <v/>
      </c>
      <c r="EI48" s="80" t="s">
        <v>745</v>
      </c>
      <c r="EJ48" s="74"/>
      <c r="EK48" s="74"/>
      <c r="EL48" s="74"/>
      <c r="EM48" s="74"/>
      <c r="ES48" s="80" t="s">
        <v>746</v>
      </c>
      <c r="ET48" s="73">
        <v>0.0</v>
      </c>
      <c r="EU48" s="74"/>
      <c r="EV48" s="74"/>
      <c r="EW48" s="74"/>
      <c r="EX48" s="74"/>
      <c r="EZ48" s="80" t="s">
        <v>747</v>
      </c>
      <c r="FE48" s="97">
        <f t="shared" si="32"/>
        <v>0</v>
      </c>
      <c r="FF48" s="80">
        <v>0.5</v>
      </c>
      <c r="FG48" s="80">
        <v>0.5</v>
      </c>
      <c r="FH48" s="80">
        <v>0.0</v>
      </c>
      <c r="FI48" s="61">
        <f t="shared" si="228"/>
        <v>1</v>
      </c>
      <c r="FJ48" s="80">
        <v>1.0</v>
      </c>
      <c r="FK48" s="80">
        <v>0.0</v>
      </c>
      <c r="FL48" s="80" t="s">
        <v>189</v>
      </c>
      <c r="FM48" s="61" t="str">
        <f t="shared" si="229"/>
        <v>0</v>
      </c>
      <c r="FN48" s="61">
        <f t="shared" si="230"/>
        <v>1</v>
      </c>
      <c r="FP48" s="80" t="s">
        <v>217</v>
      </c>
      <c r="FQ48" s="61" t="str">
        <f t="shared" si="225"/>
        <v/>
      </c>
      <c r="FR48" s="80" t="s">
        <v>217</v>
      </c>
      <c r="FT48" s="61" t="str">
        <f t="shared" si="226"/>
        <v/>
      </c>
      <c r="FU48" s="61" t="str">
        <f t="shared" si="227"/>
        <v/>
      </c>
      <c r="FV48" s="74"/>
      <c r="FW48" s="80" t="s">
        <v>217</v>
      </c>
      <c r="FY48" s="80" t="s">
        <v>217</v>
      </c>
      <c r="GL48" s="80" t="s">
        <v>748</v>
      </c>
      <c r="GP48" s="116"/>
      <c r="GQ48" s="80" t="s">
        <v>749</v>
      </c>
      <c r="GU48" s="61" t="str">
        <f t="shared" si="36"/>
        <v/>
      </c>
      <c r="GV48" s="61" t="str">
        <f t="shared" si="37"/>
        <v/>
      </c>
      <c r="GW48" s="61" t="str">
        <f t="shared" si="38"/>
        <v>x</v>
      </c>
      <c r="GX48" s="61" t="str">
        <f t="shared" si="39"/>
        <v/>
      </c>
      <c r="GY48" s="61" t="str">
        <f t="shared" si="40"/>
        <v>x</v>
      </c>
      <c r="GZ48" s="61" t="str">
        <f t="shared" si="41"/>
        <v/>
      </c>
      <c r="HA48" s="61" t="str">
        <f t="shared" si="42"/>
        <v/>
      </c>
      <c r="HB48" s="61" t="str">
        <f t="shared" si="43"/>
        <v/>
      </c>
      <c r="HC48" s="61" t="str">
        <f t="shared" si="44"/>
        <v/>
      </c>
      <c r="HD48" s="61" t="str">
        <f t="shared" si="45"/>
        <v/>
      </c>
      <c r="HE48" s="61" t="str">
        <f t="shared" si="46"/>
        <v/>
      </c>
      <c r="HF48" s="61" t="str">
        <f t="shared" si="47"/>
        <v/>
      </c>
      <c r="HG48" s="61" t="str">
        <f t="shared" si="48"/>
        <v/>
      </c>
      <c r="HH48" s="61" t="str">
        <f t="shared" si="49"/>
        <v/>
      </c>
      <c r="HI48" s="61" t="str">
        <f t="shared" si="50"/>
        <v/>
      </c>
      <c r="HJ48" s="61" t="str">
        <f t="shared" si="51"/>
        <v/>
      </c>
      <c r="HK48" s="61" t="str">
        <f t="shared" si="52"/>
        <v/>
      </c>
      <c r="HL48" s="61" t="str">
        <f t="shared" si="53"/>
        <v/>
      </c>
      <c r="HM48" s="61" t="str">
        <f t="shared" si="54"/>
        <v/>
      </c>
      <c r="HN48" s="61" t="str">
        <f t="shared" si="55"/>
        <v/>
      </c>
      <c r="HO48" s="61" t="str">
        <f t="shared" si="56"/>
        <v/>
      </c>
      <c r="HP48" s="61" t="str">
        <f t="shared" si="57"/>
        <v/>
      </c>
      <c r="HQ48" s="61" t="str">
        <f t="shared" si="58"/>
        <v/>
      </c>
      <c r="HR48" s="61" t="str">
        <f t="shared" si="59"/>
        <v/>
      </c>
      <c r="HS48" s="61" t="str">
        <f t="shared" si="60"/>
        <v/>
      </c>
      <c r="HT48" s="61" t="str">
        <f t="shared" si="61"/>
        <v/>
      </c>
      <c r="HU48" s="61" t="str">
        <f t="shared" si="62"/>
        <v/>
      </c>
      <c r="HV48" s="61" t="str">
        <f t="shared" si="63"/>
        <v/>
      </c>
      <c r="HW48" s="61" t="str">
        <f t="shared" si="64"/>
        <v/>
      </c>
      <c r="HX48" s="61" t="str">
        <f t="shared" si="65"/>
        <v/>
      </c>
      <c r="HY48" s="61" t="str">
        <f t="shared" si="66"/>
        <v>x</v>
      </c>
      <c r="HZ48" s="61" t="str">
        <f t="shared" si="67"/>
        <v/>
      </c>
    </row>
    <row r="49" ht="1.5" customHeight="1">
      <c r="A49" s="49" t="s">
        <v>750</v>
      </c>
      <c r="B49" s="80" t="s">
        <v>751</v>
      </c>
      <c r="C49" s="113" t="s">
        <v>752</v>
      </c>
      <c r="D49" s="80" t="s">
        <v>245</v>
      </c>
      <c r="E49" s="144">
        <f t="shared" si="3"/>
        <v>2</v>
      </c>
      <c r="F49" s="80" t="s">
        <v>210</v>
      </c>
      <c r="G49" s="80" t="s">
        <v>211</v>
      </c>
      <c r="H49" s="80">
        <v>2006.0</v>
      </c>
      <c r="J49" s="80" t="s">
        <v>753</v>
      </c>
      <c r="K49" s="61" t="str">
        <f t="shared" si="204"/>
        <v/>
      </c>
      <c r="L49" s="61" t="str">
        <f t="shared" si="205"/>
        <v/>
      </c>
      <c r="M49" s="61" t="str">
        <f t="shared" si="206"/>
        <v/>
      </c>
      <c r="N49" s="61" t="str">
        <f t="shared" si="207"/>
        <v/>
      </c>
      <c r="O49" s="61">
        <f t="shared" si="208"/>
        <v>1</v>
      </c>
      <c r="P49" s="61" t="str">
        <f t="shared" si="209"/>
        <v/>
      </c>
      <c r="Q49" s="61" t="b">
        <f t="shared" si="105"/>
        <v>1</v>
      </c>
      <c r="R49" s="61" t="b">
        <f t="shared" si="210"/>
        <v>1</v>
      </c>
      <c r="S49" s="80">
        <v>1.0</v>
      </c>
      <c r="T49" s="80">
        <v>1.0</v>
      </c>
      <c r="U49" s="80">
        <v>1.0</v>
      </c>
      <c r="V49" s="61" t="b">
        <f t="shared" si="211"/>
        <v>1</v>
      </c>
      <c r="W49" s="80">
        <v>1.0</v>
      </c>
      <c r="X49" s="80">
        <v>1.0</v>
      </c>
      <c r="Y49" s="80">
        <v>1.0</v>
      </c>
      <c r="AA49" s="61" t="str">
        <f t="shared" si="212"/>
        <v>Sampath:tav06, </v>
      </c>
      <c r="AB49" s="61" t="str">
        <f t="shared" si="213"/>
        <v/>
      </c>
      <c r="AC49" s="114" t="s">
        <v>360</v>
      </c>
      <c r="AD49" s="80" t="s">
        <v>266</v>
      </c>
      <c r="AF49" s="61">
        <f>countif('Charts-SLR'!A:A,AD49)</f>
        <v>1</v>
      </c>
      <c r="AG49" s="80" t="s">
        <v>720</v>
      </c>
      <c r="AH49" s="61">
        <f t="shared" si="214"/>
        <v>0</v>
      </c>
      <c r="AI49" s="80" t="s">
        <v>216</v>
      </c>
      <c r="AJ49" s="80">
        <v>4.0</v>
      </c>
      <c r="AK49" s="108">
        <f t="shared" si="215"/>
        <v>0.6666666667</v>
      </c>
      <c r="AL49" s="61" t="str">
        <f t="shared" si="216"/>
        <v/>
      </c>
      <c r="AM49" s="61" t="str">
        <f t="shared" si="217"/>
        <v/>
      </c>
      <c r="AN49" s="61">
        <f t="shared" si="218"/>
        <v>4</v>
      </c>
      <c r="AO49" s="61" t="str">
        <f t="shared" si="219"/>
        <v/>
      </c>
      <c r="AP49" s="61" t="str">
        <f t="shared" si="220"/>
        <v/>
      </c>
      <c r="AQ49" s="61" t="str">
        <f t="shared" si="221"/>
        <v>Sampath:tav06, </v>
      </c>
      <c r="AR49" s="73" t="s">
        <v>217</v>
      </c>
      <c r="AS49" s="73" t="s">
        <v>217</v>
      </c>
      <c r="AT49" s="74"/>
      <c r="AU49" s="74"/>
      <c r="AV49" s="74"/>
      <c r="AW49" s="74"/>
      <c r="AX49" s="74"/>
      <c r="AY49" s="74"/>
      <c r="AZ49" s="74"/>
      <c r="BA49" s="74"/>
      <c r="BB49" s="109" t="str">
        <f t="shared" si="106"/>
        <v>ERR</v>
      </c>
      <c r="BC49" s="74"/>
      <c r="BD49" s="74"/>
      <c r="BE49" s="74"/>
      <c r="BF49" s="74"/>
      <c r="BG49" s="74"/>
      <c r="BH49" s="73" t="s">
        <v>217</v>
      </c>
      <c r="BI49" s="110">
        <f t="shared" si="222"/>
        <v>1</v>
      </c>
      <c r="BJ49" s="74"/>
      <c r="BK49" s="74"/>
      <c r="BL49" s="74"/>
      <c r="BM49" s="74"/>
      <c r="BN49" s="74"/>
      <c r="BO49" s="74"/>
      <c r="BP49" s="73" t="s">
        <v>217</v>
      </c>
      <c r="BQ49" s="74"/>
      <c r="BR49" s="74"/>
      <c r="BS49" s="74"/>
      <c r="BT49" s="74"/>
      <c r="BU49" s="74"/>
      <c r="BV49" s="73" t="s">
        <v>217</v>
      </c>
      <c r="BW49" s="73" t="s">
        <v>217</v>
      </c>
      <c r="BX49" s="74"/>
      <c r="BY49" s="74"/>
      <c r="BZ49" s="74"/>
      <c r="CA49" s="74"/>
      <c r="CB49" s="74"/>
      <c r="CC49" s="74"/>
      <c r="CD49" s="73" t="s">
        <v>217</v>
      </c>
      <c r="CE49" s="74"/>
      <c r="CF49" s="74"/>
      <c r="CG49" s="74"/>
      <c r="CH49" s="73" t="s">
        <v>217</v>
      </c>
      <c r="CI49" s="110" t="str">
        <f>if(and(CG49="x",CH49="x"), "x", "")</f>
        <v/>
      </c>
      <c r="CJ49" s="110">
        <f t="shared" si="223"/>
        <v>2</v>
      </c>
      <c r="CK49" s="73" t="s">
        <v>217</v>
      </c>
      <c r="CL49" s="74"/>
      <c r="CM49" s="74"/>
      <c r="CN49" s="74"/>
      <c r="CO49" s="73" t="s">
        <v>217</v>
      </c>
      <c r="CP49" s="74"/>
      <c r="CQ49" s="74"/>
      <c r="CV49" s="80" t="s">
        <v>217</v>
      </c>
      <c r="DD49" s="80" t="s">
        <v>217</v>
      </c>
      <c r="DG49" s="61">
        <f t="shared" si="108"/>
        <v>2</v>
      </c>
      <c r="DL49" s="114" t="s">
        <v>217</v>
      </c>
      <c r="DM49" s="61">
        <f t="shared" si="224"/>
        <v>1</v>
      </c>
      <c r="DO49" s="80" t="s">
        <v>217</v>
      </c>
      <c r="DP49" s="61" t="str">
        <f t="shared" si="109"/>
        <v/>
      </c>
      <c r="DQ49" s="61" t="str">
        <f t="shared" si="110"/>
        <v/>
      </c>
      <c r="DR49" s="61" t="str">
        <f t="shared" si="111"/>
        <v>FA</v>
      </c>
      <c r="DS49" s="73" t="s">
        <v>268</v>
      </c>
      <c r="DT49" s="74"/>
      <c r="DU49" s="74"/>
      <c r="DV49" s="74"/>
      <c r="DW49" s="74"/>
      <c r="DX49" s="74"/>
      <c r="DY49" s="110">
        <f t="shared" si="29"/>
        <v>1</v>
      </c>
      <c r="DZ49" s="74"/>
      <c r="EA49" s="74"/>
      <c r="EB49" s="74"/>
      <c r="EC49" s="74"/>
      <c r="ED49" s="74"/>
      <c r="EE49" s="110">
        <f t="shared" si="30"/>
        <v>0</v>
      </c>
      <c r="EF49" s="110" t="str">
        <f t="shared" si="70"/>
        <v/>
      </c>
      <c r="EG49" s="61" t="str">
        <f t="shared" si="31"/>
        <v/>
      </c>
      <c r="EI49" s="80" t="s">
        <v>754</v>
      </c>
      <c r="EJ49" s="74"/>
      <c r="EK49" s="74"/>
      <c r="EL49" s="74"/>
      <c r="EM49" s="73" t="s">
        <v>217</v>
      </c>
      <c r="EN49" s="80" t="s">
        <v>217</v>
      </c>
      <c r="ES49" s="80" t="s">
        <v>755</v>
      </c>
      <c r="ET49" s="73">
        <v>3.0</v>
      </c>
      <c r="EU49" s="74"/>
      <c r="EV49" s="74"/>
      <c r="EW49" s="74"/>
      <c r="EX49" s="74"/>
      <c r="EZ49" s="80" t="s">
        <v>756</v>
      </c>
      <c r="FA49" s="80" t="s">
        <v>757</v>
      </c>
      <c r="FD49" s="80" t="s">
        <v>758</v>
      </c>
      <c r="FE49" s="97">
        <f t="shared" si="32"/>
        <v>2</v>
      </c>
      <c r="FF49" s="80">
        <v>1.0</v>
      </c>
      <c r="FG49" s="80">
        <v>1.0</v>
      </c>
      <c r="FH49" s="80">
        <v>0.5</v>
      </c>
      <c r="FI49" s="61">
        <f t="shared" si="228"/>
        <v>2.5</v>
      </c>
      <c r="FJ49" s="80">
        <v>0.0</v>
      </c>
      <c r="FK49" s="80">
        <v>0.0</v>
      </c>
      <c r="FL49" s="80" t="s">
        <v>189</v>
      </c>
      <c r="FM49" s="61" t="str">
        <f t="shared" si="229"/>
        <v>0.5</v>
      </c>
      <c r="FN49" s="61">
        <f t="shared" si="230"/>
        <v>0</v>
      </c>
      <c r="FP49" s="80" t="s">
        <v>217</v>
      </c>
      <c r="FQ49" s="61" t="str">
        <f t="shared" si="225"/>
        <v/>
      </c>
      <c r="FR49" s="80" t="s">
        <v>217</v>
      </c>
      <c r="FT49" s="61" t="str">
        <f t="shared" si="226"/>
        <v/>
      </c>
      <c r="FU49" s="61" t="str">
        <f t="shared" si="227"/>
        <v/>
      </c>
      <c r="FV49" s="74"/>
      <c r="FZ49" s="80" t="s">
        <v>217</v>
      </c>
      <c r="GD49" s="80" t="s">
        <v>217</v>
      </c>
      <c r="GN49" s="80">
        <v>1.0</v>
      </c>
      <c r="GO49" s="80" t="s">
        <v>759</v>
      </c>
      <c r="GP49" s="112">
        <v>8947.0</v>
      </c>
      <c r="GQ49" s="80" t="s">
        <v>760</v>
      </c>
      <c r="GT49" s="80" t="s">
        <v>217</v>
      </c>
      <c r="GU49" s="61" t="str">
        <f t="shared" si="36"/>
        <v/>
      </c>
      <c r="GV49" s="61" t="str">
        <f t="shared" si="37"/>
        <v/>
      </c>
      <c r="GW49" s="61" t="str">
        <f t="shared" si="38"/>
        <v/>
      </c>
      <c r="GX49" s="61" t="str">
        <f t="shared" si="39"/>
        <v/>
      </c>
      <c r="GY49" s="61" t="str">
        <f t="shared" si="40"/>
        <v/>
      </c>
      <c r="GZ49" s="61" t="str">
        <f t="shared" si="41"/>
        <v/>
      </c>
      <c r="HA49" s="61" t="str">
        <f t="shared" si="42"/>
        <v/>
      </c>
      <c r="HB49" s="61" t="str">
        <f t="shared" si="43"/>
        <v/>
      </c>
      <c r="HC49" s="61" t="str">
        <f t="shared" si="44"/>
        <v/>
      </c>
      <c r="HD49" s="61" t="str">
        <f t="shared" si="45"/>
        <v/>
      </c>
      <c r="HE49" s="61" t="str">
        <f t="shared" si="46"/>
        <v/>
      </c>
      <c r="HF49" s="61" t="str">
        <f t="shared" si="47"/>
        <v/>
      </c>
      <c r="HG49" s="61" t="str">
        <f t="shared" si="48"/>
        <v/>
      </c>
      <c r="HH49" s="61" t="str">
        <f t="shared" si="49"/>
        <v/>
      </c>
      <c r="HI49" s="61" t="str">
        <f t="shared" si="50"/>
        <v/>
      </c>
      <c r="HJ49" s="61" t="str">
        <f t="shared" si="51"/>
        <v/>
      </c>
      <c r="HK49" s="61" t="str">
        <f t="shared" si="52"/>
        <v/>
      </c>
      <c r="HL49" s="61" t="str">
        <f t="shared" si="53"/>
        <v/>
      </c>
      <c r="HM49" s="61" t="str">
        <f t="shared" si="54"/>
        <v/>
      </c>
      <c r="HN49" s="61" t="str">
        <f t="shared" si="55"/>
        <v/>
      </c>
      <c r="HO49" s="61" t="str">
        <f t="shared" si="56"/>
        <v/>
      </c>
      <c r="HP49" s="61" t="str">
        <f t="shared" si="57"/>
        <v/>
      </c>
      <c r="HQ49" s="61" t="str">
        <f t="shared" si="58"/>
        <v/>
      </c>
      <c r="HR49" s="61" t="str">
        <f t="shared" si="59"/>
        <v/>
      </c>
      <c r="HS49" s="61" t="str">
        <f t="shared" si="60"/>
        <v/>
      </c>
      <c r="HT49" s="61" t="str">
        <f t="shared" si="61"/>
        <v/>
      </c>
      <c r="HU49" s="61" t="str">
        <f t="shared" si="62"/>
        <v/>
      </c>
      <c r="HV49" s="61" t="str">
        <f t="shared" si="63"/>
        <v/>
      </c>
      <c r="HW49" s="61" t="str">
        <f t="shared" si="64"/>
        <v/>
      </c>
      <c r="HX49" s="61" t="str">
        <f t="shared" si="65"/>
        <v/>
      </c>
      <c r="HY49" s="61" t="str">
        <f t="shared" si="66"/>
        <v/>
      </c>
      <c r="HZ49" s="61" t="str">
        <f t="shared" si="67"/>
        <v/>
      </c>
    </row>
    <row r="50" ht="1.5" customHeight="1">
      <c r="A50" s="49" t="s">
        <v>761</v>
      </c>
      <c r="B50" s="80" t="s">
        <v>762</v>
      </c>
      <c r="C50" s="113" t="s">
        <v>763</v>
      </c>
      <c r="D50" s="80" t="s">
        <v>210</v>
      </c>
      <c r="E50" s="107">
        <f t="shared" si="3"/>
        <v>3</v>
      </c>
      <c r="F50" s="80" t="s">
        <v>245</v>
      </c>
      <c r="G50" s="80" t="s">
        <v>211</v>
      </c>
      <c r="H50" s="80">
        <v>2009.0</v>
      </c>
      <c r="J50" s="80" t="s">
        <v>764</v>
      </c>
      <c r="K50" s="61" t="str">
        <f t="shared" si="204"/>
        <v/>
      </c>
      <c r="L50" s="61" t="str">
        <f t="shared" si="205"/>
        <v/>
      </c>
      <c r="M50" s="61" t="str">
        <f t="shared" si="206"/>
        <v/>
      </c>
      <c r="N50" s="61">
        <f t="shared" si="207"/>
        <v>1</v>
      </c>
      <c r="O50" s="61" t="str">
        <f t="shared" si="208"/>
        <v/>
      </c>
      <c r="P50" s="61" t="str">
        <f t="shared" si="209"/>
        <v/>
      </c>
      <c r="Q50" s="61" t="b">
        <f t="shared" si="105"/>
        <v>1</v>
      </c>
      <c r="R50" s="61" t="b">
        <f t="shared" si="210"/>
        <v>1</v>
      </c>
      <c r="S50" s="80">
        <v>1.0</v>
      </c>
      <c r="T50" s="80">
        <v>1.0</v>
      </c>
      <c r="U50" s="80">
        <v>1.0</v>
      </c>
      <c r="V50" s="61" t="b">
        <f t="shared" si="211"/>
        <v>1</v>
      </c>
      <c r="W50" s="80">
        <v>1.0</v>
      </c>
      <c r="X50" s="80">
        <v>1.0</v>
      </c>
      <c r="Y50" s="80">
        <v>1.0</v>
      </c>
      <c r="AA50" s="61" t="str">
        <f t="shared" si="212"/>
        <v/>
      </c>
      <c r="AB50" s="61" t="str">
        <f t="shared" si="213"/>
        <v/>
      </c>
      <c r="AC50" s="114" t="s">
        <v>765</v>
      </c>
      <c r="AD50" s="80" t="s">
        <v>766</v>
      </c>
      <c r="AF50" s="61">
        <f>countif('Charts-SLR'!A:A,AD50)</f>
        <v>1</v>
      </c>
      <c r="AG50" s="80" t="s">
        <v>249</v>
      </c>
      <c r="AH50" s="61">
        <f t="shared" si="214"/>
        <v>0</v>
      </c>
      <c r="AI50" s="80" t="s">
        <v>250</v>
      </c>
      <c r="AJ50" s="61">
        <f>58+3</f>
        <v>61</v>
      </c>
      <c r="AK50" s="108">
        <f t="shared" si="215"/>
        <v>20.33333333</v>
      </c>
      <c r="AL50" s="61" t="str">
        <f t="shared" si="216"/>
        <v/>
      </c>
      <c r="AM50" s="61">
        <f t="shared" si="217"/>
        <v>61</v>
      </c>
      <c r="AN50" s="61" t="str">
        <f t="shared" si="218"/>
        <v/>
      </c>
      <c r="AO50" s="61" t="str">
        <f t="shared" si="219"/>
        <v/>
      </c>
      <c r="AP50" s="61" t="str">
        <f t="shared" si="220"/>
        <v/>
      </c>
      <c r="AQ50" s="61" t="str">
        <f t="shared" si="221"/>
        <v/>
      </c>
      <c r="AR50" s="74"/>
      <c r="AS50" s="74"/>
      <c r="AT50" s="74"/>
      <c r="AU50" s="73" t="s">
        <v>217</v>
      </c>
      <c r="AV50" s="74"/>
      <c r="AW50" s="74"/>
      <c r="AX50" s="74"/>
      <c r="AY50" s="74"/>
      <c r="AZ50" s="74"/>
      <c r="BA50" s="74"/>
      <c r="BB50" s="109" t="str">
        <f t="shared" si="106"/>
        <v/>
      </c>
      <c r="BC50" s="73" t="s">
        <v>217</v>
      </c>
      <c r="BD50" s="73" t="s">
        <v>217</v>
      </c>
      <c r="BE50" s="73" t="s">
        <v>217</v>
      </c>
      <c r="BF50" s="74"/>
      <c r="BG50" s="74"/>
      <c r="BH50" s="74"/>
      <c r="BI50" s="110">
        <f t="shared" si="222"/>
        <v>3</v>
      </c>
      <c r="BJ50" s="74"/>
      <c r="BK50" s="74"/>
      <c r="BL50" s="73" t="s">
        <v>217</v>
      </c>
      <c r="BN50" s="73" t="s">
        <v>218</v>
      </c>
      <c r="BO50" s="74"/>
      <c r="BP50" s="74"/>
      <c r="BQ50" s="73" t="s">
        <v>217</v>
      </c>
      <c r="BR50" s="74"/>
      <c r="BS50" s="74"/>
      <c r="BT50" s="74"/>
      <c r="BU50" s="74"/>
      <c r="BV50" s="73" t="s">
        <v>217</v>
      </c>
      <c r="BW50" s="74"/>
      <c r="BX50" s="73" t="s">
        <v>217</v>
      </c>
      <c r="BY50" s="73" t="s">
        <v>217</v>
      </c>
      <c r="BZ50" s="74"/>
      <c r="CA50" s="73" t="s">
        <v>217</v>
      </c>
      <c r="CB50" s="73" t="s">
        <v>217</v>
      </c>
      <c r="CC50" s="73" t="s">
        <v>217</v>
      </c>
      <c r="CD50" s="74"/>
      <c r="CE50" s="74"/>
      <c r="CF50" s="74"/>
      <c r="CG50" s="73" t="s">
        <v>217</v>
      </c>
      <c r="CH50" s="73" t="s">
        <v>217</v>
      </c>
      <c r="CI50" s="125" t="s">
        <v>217</v>
      </c>
      <c r="CJ50" s="110">
        <f t="shared" si="223"/>
        <v>1</v>
      </c>
      <c r="CK50" s="73" t="s">
        <v>217</v>
      </c>
      <c r="CL50" s="74"/>
      <c r="CM50" s="73" t="s">
        <v>217</v>
      </c>
      <c r="CN50" s="74"/>
      <c r="CO50" s="74"/>
      <c r="CP50" s="74"/>
      <c r="CQ50" s="73" t="s">
        <v>217</v>
      </c>
      <c r="CS50" s="80" t="s">
        <v>217</v>
      </c>
      <c r="CZ50" s="80" t="s">
        <v>217</v>
      </c>
      <c r="DG50" s="61">
        <f t="shared" si="108"/>
        <v>1</v>
      </c>
      <c r="DJ50" s="80" t="s">
        <v>217</v>
      </c>
      <c r="DK50" s="80" t="s">
        <v>217</v>
      </c>
      <c r="DM50" s="61">
        <f t="shared" si="224"/>
        <v>2</v>
      </c>
      <c r="DO50" s="80" t="s">
        <v>217</v>
      </c>
      <c r="DP50" s="61" t="str">
        <f t="shared" si="109"/>
        <v/>
      </c>
      <c r="DQ50" s="61" t="str">
        <f t="shared" si="110"/>
        <v/>
      </c>
      <c r="DR50" s="61" t="str">
        <f t="shared" si="111"/>
        <v>FA</v>
      </c>
      <c r="DS50" s="73" t="s">
        <v>268</v>
      </c>
      <c r="DT50" s="74"/>
      <c r="DU50" s="74"/>
      <c r="DV50" s="73" t="s">
        <v>217</v>
      </c>
      <c r="DW50" s="73" t="s">
        <v>217</v>
      </c>
      <c r="DX50" s="74"/>
      <c r="DY50" s="110">
        <f t="shared" si="29"/>
        <v>3</v>
      </c>
      <c r="DZ50" s="74"/>
      <c r="EA50" s="73" t="s">
        <v>217</v>
      </c>
      <c r="EB50" s="74"/>
      <c r="EC50" s="74"/>
      <c r="ED50" s="74"/>
      <c r="EE50" s="110">
        <f t="shared" si="30"/>
        <v>1</v>
      </c>
      <c r="EF50" s="110" t="str">
        <f t="shared" si="70"/>
        <v>x</v>
      </c>
      <c r="EG50" s="61" t="str">
        <f t="shared" si="31"/>
        <v/>
      </c>
      <c r="EI50" s="80" t="s">
        <v>767</v>
      </c>
      <c r="EJ50" s="74"/>
      <c r="EK50" s="74"/>
      <c r="EL50" s="74"/>
      <c r="EM50" s="74"/>
      <c r="EP50" s="80" t="s">
        <v>217</v>
      </c>
      <c r="ES50" s="80" t="s">
        <v>768</v>
      </c>
      <c r="ET50" s="73">
        <v>3.0</v>
      </c>
      <c r="EU50" s="74"/>
      <c r="EV50" s="74"/>
      <c r="EW50" s="74"/>
      <c r="EX50" s="74"/>
      <c r="EZ50" s="80" t="s">
        <v>769</v>
      </c>
      <c r="FA50" s="80" t="s">
        <v>770</v>
      </c>
      <c r="FD50" s="80" t="s">
        <v>256</v>
      </c>
      <c r="FE50" s="97">
        <f t="shared" si="32"/>
        <v>2</v>
      </c>
      <c r="FF50" s="80">
        <v>1.0</v>
      </c>
      <c r="FG50" s="80">
        <v>1.0</v>
      </c>
      <c r="FH50" s="80">
        <v>1.0</v>
      </c>
      <c r="FI50" s="61">
        <f t="shared" si="228"/>
        <v>3</v>
      </c>
      <c r="FJ50" s="145">
        <v>0.0</v>
      </c>
      <c r="FK50" s="145">
        <v>0.0</v>
      </c>
      <c r="FL50" s="145" t="s">
        <v>189</v>
      </c>
      <c r="FM50" s="61" t="str">
        <f t="shared" si="229"/>
        <v>1</v>
      </c>
      <c r="FN50" s="61">
        <f t="shared" si="230"/>
        <v>0</v>
      </c>
      <c r="FP50" s="80" t="s">
        <v>217</v>
      </c>
      <c r="FQ50" s="61" t="str">
        <f t="shared" si="225"/>
        <v/>
      </c>
      <c r="FS50" s="80" t="s">
        <v>217</v>
      </c>
      <c r="FT50" s="61" t="str">
        <f t="shared" si="226"/>
        <v/>
      </c>
      <c r="FU50" s="61" t="str">
        <f t="shared" si="227"/>
        <v/>
      </c>
      <c r="FV50" s="74"/>
      <c r="FX50" s="80" t="s">
        <v>217</v>
      </c>
      <c r="FY50" s="80" t="s">
        <v>217</v>
      </c>
      <c r="GL50" s="80" t="s">
        <v>771</v>
      </c>
      <c r="GM50" s="80" t="s">
        <v>217</v>
      </c>
      <c r="GN50" s="80">
        <v>6.0</v>
      </c>
      <c r="GO50" s="80" t="s">
        <v>772</v>
      </c>
      <c r="GP50" s="112">
        <v>33580.0</v>
      </c>
      <c r="GQ50" s="80" t="s">
        <v>773</v>
      </c>
      <c r="GS50" s="80" t="s">
        <v>217</v>
      </c>
      <c r="GT50" s="80" t="s">
        <v>217</v>
      </c>
      <c r="GU50" s="61" t="str">
        <f t="shared" si="36"/>
        <v/>
      </c>
      <c r="GV50" s="61" t="str">
        <f t="shared" si="37"/>
        <v/>
      </c>
      <c r="GW50" s="61" t="str">
        <f t="shared" si="38"/>
        <v/>
      </c>
      <c r="GX50" s="61" t="str">
        <f t="shared" si="39"/>
        <v/>
      </c>
      <c r="GY50" s="61" t="str">
        <f t="shared" si="40"/>
        <v>x</v>
      </c>
      <c r="GZ50" s="61" t="str">
        <f t="shared" si="41"/>
        <v/>
      </c>
      <c r="HA50" s="61" t="str">
        <f t="shared" si="42"/>
        <v/>
      </c>
      <c r="HB50" s="61" t="str">
        <f t="shared" si="43"/>
        <v/>
      </c>
      <c r="HC50" s="61" t="str">
        <f t="shared" si="44"/>
        <v/>
      </c>
      <c r="HD50" s="61" t="str">
        <f t="shared" si="45"/>
        <v/>
      </c>
      <c r="HE50" s="61" t="str">
        <f t="shared" si="46"/>
        <v/>
      </c>
      <c r="HF50" s="61" t="str">
        <f t="shared" si="47"/>
        <v/>
      </c>
      <c r="HG50" s="61" t="str">
        <f t="shared" si="48"/>
        <v/>
      </c>
      <c r="HH50" s="61" t="str">
        <f t="shared" si="49"/>
        <v/>
      </c>
      <c r="HI50" s="61" t="str">
        <f t="shared" si="50"/>
        <v/>
      </c>
      <c r="HJ50" s="61" t="str">
        <f t="shared" si="51"/>
        <v>x</v>
      </c>
      <c r="HK50" s="61" t="str">
        <f t="shared" si="52"/>
        <v/>
      </c>
      <c r="HL50" s="61" t="str">
        <f t="shared" si="53"/>
        <v/>
      </c>
      <c r="HM50" s="61" t="str">
        <f t="shared" si="54"/>
        <v/>
      </c>
      <c r="HN50" s="61" t="str">
        <f t="shared" si="55"/>
        <v/>
      </c>
      <c r="HO50" s="61" t="str">
        <f t="shared" si="56"/>
        <v/>
      </c>
      <c r="HP50" s="61" t="str">
        <f t="shared" si="57"/>
        <v/>
      </c>
      <c r="HQ50" s="61" t="str">
        <f t="shared" si="58"/>
        <v/>
      </c>
      <c r="HR50" s="61" t="str">
        <f t="shared" si="59"/>
        <v/>
      </c>
      <c r="HS50" s="61" t="str">
        <f t="shared" si="60"/>
        <v/>
      </c>
      <c r="HT50" s="61" t="str">
        <f t="shared" si="61"/>
        <v>x</v>
      </c>
      <c r="HU50" s="61" t="str">
        <f t="shared" si="62"/>
        <v/>
      </c>
      <c r="HV50" s="61" t="str">
        <f t="shared" si="63"/>
        <v/>
      </c>
      <c r="HW50" s="61" t="str">
        <f t="shared" si="64"/>
        <v/>
      </c>
      <c r="HX50" s="61" t="str">
        <f t="shared" si="65"/>
        <v/>
      </c>
      <c r="HY50" s="61" t="str">
        <f t="shared" si="66"/>
        <v/>
      </c>
      <c r="HZ50" s="61" t="str">
        <f t="shared" si="67"/>
        <v/>
      </c>
    </row>
    <row r="51" ht="15.0" customHeight="1">
      <c r="A51" s="49" t="s">
        <v>774</v>
      </c>
      <c r="B51" s="80" t="s">
        <v>775</v>
      </c>
      <c r="C51" s="126" t="s">
        <v>776</v>
      </c>
      <c r="D51" s="80" t="s">
        <v>301</v>
      </c>
      <c r="E51" s="107">
        <f t="shared" si="3"/>
        <v>3</v>
      </c>
      <c r="F51" s="80" t="s">
        <v>209</v>
      </c>
      <c r="G51" s="80" t="s">
        <v>217</v>
      </c>
      <c r="H51" s="80">
        <v>2012.0</v>
      </c>
      <c r="J51" s="80" t="s">
        <v>777</v>
      </c>
      <c r="Q51" s="61" t="b">
        <f t="shared" si="105"/>
        <v>1</v>
      </c>
      <c r="R51" s="61" t="b">
        <f t="shared" ref="R51:R53" si="231">if(AVERAGE(S51:U51)&gt;=5, TRUE, FALSE)</f>
        <v>1</v>
      </c>
      <c r="S51" s="80">
        <v>9.0</v>
      </c>
      <c r="T51" s="80">
        <v>8.0</v>
      </c>
      <c r="U51" s="80">
        <v>8.0</v>
      </c>
      <c r="V51" s="61" t="b">
        <f t="shared" ref="V51:V53" si="232">if(AVERAGE(W51:Y51)&gt;=5, TRUE, FALSE)</f>
        <v>1</v>
      </c>
      <c r="W51" s="80">
        <v>9.0</v>
      </c>
      <c r="X51" s="80">
        <v>8.0</v>
      </c>
      <c r="Y51" s="80">
        <v>9.0</v>
      </c>
      <c r="Z51" s="115" t="s">
        <v>778</v>
      </c>
      <c r="AC51" s="127"/>
      <c r="AR51" s="74"/>
      <c r="AS51" s="74"/>
      <c r="AT51" s="74"/>
      <c r="AU51" s="73" t="s">
        <v>217</v>
      </c>
      <c r="AV51" s="74"/>
      <c r="AW51" s="74"/>
      <c r="AX51" s="74"/>
      <c r="AY51" s="74"/>
      <c r="AZ51" s="74"/>
      <c r="BA51" s="74"/>
      <c r="BB51" s="109" t="str">
        <f t="shared" si="106"/>
        <v/>
      </c>
      <c r="BC51" s="73" t="s">
        <v>217</v>
      </c>
      <c r="BD51" s="73" t="s">
        <v>217</v>
      </c>
      <c r="BE51" s="73" t="s">
        <v>217</v>
      </c>
      <c r="BF51" s="74"/>
      <c r="BG51" s="73" t="s">
        <v>217</v>
      </c>
      <c r="BH51" s="73" t="s">
        <v>217</v>
      </c>
      <c r="BI51" s="74"/>
      <c r="BJ51" s="74"/>
      <c r="BK51" s="74"/>
      <c r="BL51" s="73" t="s">
        <v>217</v>
      </c>
      <c r="BM51" s="74"/>
      <c r="BN51" s="73" t="s">
        <v>218</v>
      </c>
      <c r="BO51" s="74"/>
      <c r="BP51" s="74"/>
      <c r="BQ51" s="73" t="s">
        <v>217</v>
      </c>
      <c r="BR51" s="74"/>
      <c r="BS51" s="74"/>
      <c r="BT51" s="74"/>
      <c r="BU51" s="74"/>
      <c r="BV51" s="73" t="s">
        <v>217</v>
      </c>
      <c r="BW51" s="74"/>
      <c r="BX51" s="73" t="s">
        <v>217</v>
      </c>
      <c r="BY51" s="73" t="s">
        <v>217</v>
      </c>
      <c r="BZ51" s="74"/>
      <c r="CA51" s="73" t="s">
        <v>217</v>
      </c>
      <c r="CB51" s="73" t="s">
        <v>217</v>
      </c>
      <c r="CC51" s="74"/>
      <c r="CD51" s="74"/>
      <c r="CE51" s="74"/>
      <c r="CF51" s="74"/>
      <c r="CG51" s="73" t="s">
        <v>217</v>
      </c>
      <c r="CH51" s="74"/>
      <c r="CI51" s="110" t="str">
        <f t="shared" ref="CI51:CI57" si="233">if(and(CG51="x",CH51="x"), "x", "")</f>
        <v/>
      </c>
      <c r="CJ51" s="74"/>
      <c r="CK51" s="74"/>
      <c r="CL51" s="74"/>
      <c r="CM51" s="73" t="s">
        <v>217</v>
      </c>
      <c r="CN51" s="73" t="s">
        <v>217</v>
      </c>
      <c r="CO51" s="74"/>
      <c r="CP51" s="74"/>
      <c r="CQ51" s="73" t="s">
        <v>217</v>
      </c>
      <c r="CS51" s="80" t="s">
        <v>217</v>
      </c>
      <c r="CY51" s="80" t="s">
        <v>217</v>
      </c>
      <c r="CZ51" s="80" t="s">
        <v>217</v>
      </c>
      <c r="DE51" s="80" t="s">
        <v>217</v>
      </c>
      <c r="DG51" s="61">
        <f t="shared" si="108"/>
        <v>3</v>
      </c>
      <c r="DH51" s="80" t="s">
        <v>217</v>
      </c>
      <c r="DI51" s="80" t="s">
        <v>217</v>
      </c>
      <c r="DJ51" s="80" t="s">
        <v>217</v>
      </c>
      <c r="DK51" s="80" t="s">
        <v>217</v>
      </c>
      <c r="DL51" s="80" t="s">
        <v>217</v>
      </c>
      <c r="DO51" s="80" t="s">
        <v>217</v>
      </c>
      <c r="DP51" s="61" t="str">
        <f t="shared" si="109"/>
        <v/>
      </c>
      <c r="DQ51" s="61" t="str">
        <f t="shared" si="110"/>
        <v/>
      </c>
      <c r="DR51" s="61" t="str">
        <f t="shared" si="111"/>
        <v>FA</v>
      </c>
      <c r="DS51" s="73" t="s">
        <v>268</v>
      </c>
      <c r="DT51" s="73" t="s">
        <v>779</v>
      </c>
      <c r="DU51" s="74"/>
      <c r="DV51" s="73" t="s">
        <v>217</v>
      </c>
      <c r="DW51" s="73" t="s">
        <v>217</v>
      </c>
      <c r="DX51" s="80" t="s">
        <v>780</v>
      </c>
      <c r="DY51" s="110">
        <f t="shared" si="29"/>
        <v>5</v>
      </c>
      <c r="DZ51" s="110" t="str">
        <f t="shared" ref="DZ51:DZ53" si="234">if(AND(DS51&lt;&gt;"",DW51="x"), "x", "")</f>
        <v>x</v>
      </c>
      <c r="EA51" s="73" t="s">
        <v>217</v>
      </c>
      <c r="EB51" s="73" t="s">
        <v>217</v>
      </c>
      <c r="EC51" s="74"/>
      <c r="ED51" s="74"/>
      <c r="EE51" s="110">
        <f t="shared" si="30"/>
        <v>2</v>
      </c>
      <c r="EF51" s="110" t="str">
        <f t="shared" si="70"/>
        <v>x</v>
      </c>
      <c r="EG51" s="61" t="str">
        <f t="shared" si="31"/>
        <v/>
      </c>
      <c r="EI51" s="80" t="s">
        <v>781</v>
      </c>
      <c r="EJ51" s="74"/>
      <c r="EK51" s="74"/>
      <c r="EL51" s="74"/>
      <c r="EM51" s="74"/>
      <c r="ES51" s="80" t="s">
        <v>782</v>
      </c>
      <c r="ET51" s="73">
        <v>4.0</v>
      </c>
      <c r="EU51" s="74"/>
      <c r="EV51" s="74"/>
      <c r="EW51" s="74"/>
      <c r="EX51" s="74"/>
      <c r="EZ51" s="80" t="s">
        <v>783</v>
      </c>
      <c r="FA51" s="80" t="s">
        <v>378</v>
      </c>
      <c r="FD51" s="80" t="s">
        <v>784</v>
      </c>
      <c r="FE51" s="97">
        <f t="shared" si="32"/>
        <v>2</v>
      </c>
      <c r="FF51" s="80">
        <v>1.0</v>
      </c>
      <c r="FG51" s="80">
        <v>1.0</v>
      </c>
      <c r="FH51" s="80">
        <v>1.0</v>
      </c>
      <c r="FI51" s="61">
        <f t="shared" si="228"/>
        <v>3</v>
      </c>
      <c r="FJ51" s="80">
        <v>1.0</v>
      </c>
      <c r="FK51" s="80">
        <v>0.0</v>
      </c>
      <c r="FL51" s="80">
        <v>0.0</v>
      </c>
      <c r="FM51" s="80">
        <v>1.0</v>
      </c>
      <c r="FN51" s="61">
        <f t="shared" si="230"/>
        <v>2</v>
      </c>
      <c r="FP51" s="80" t="s">
        <v>217</v>
      </c>
      <c r="FS51" s="80" t="s">
        <v>217</v>
      </c>
      <c r="FV51" s="73" t="s">
        <v>217</v>
      </c>
      <c r="FW51" s="80" t="s">
        <v>217</v>
      </c>
      <c r="FX51" s="80" t="s">
        <v>217</v>
      </c>
      <c r="FY51" s="80" t="s">
        <v>217</v>
      </c>
      <c r="GC51" s="80" t="s">
        <v>217</v>
      </c>
      <c r="GD51" s="80" t="s">
        <v>217</v>
      </c>
      <c r="GL51" s="80" t="s">
        <v>771</v>
      </c>
      <c r="GM51" s="80" t="s">
        <v>217</v>
      </c>
      <c r="GN51" s="80">
        <v>6.0</v>
      </c>
      <c r="GO51" s="80" t="s">
        <v>785</v>
      </c>
      <c r="GP51" s="61">
        <f>12000+11000+580</f>
        <v>23580</v>
      </c>
      <c r="GS51" s="80" t="s">
        <v>217</v>
      </c>
      <c r="GT51" s="80" t="s">
        <v>217</v>
      </c>
      <c r="GU51" s="61" t="str">
        <f t="shared" si="36"/>
        <v/>
      </c>
      <c r="GV51" s="61" t="str">
        <f t="shared" si="37"/>
        <v/>
      </c>
      <c r="GW51" s="61" t="str">
        <f t="shared" si="38"/>
        <v/>
      </c>
      <c r="GX51" s="61" t="str">
        <f t="shared" si="39"/>
        <v>x</v>
      </c>
      <c r="GY51" s="61" t="str">
        <f t="shared" si="40"/>
        <v>x</v>
      </c>
      <c r="GZ51" s="61" t="str">
        <f t="shared" si="41"/>
        <v/>
      </c>
      <c r="HA51" s="61" t="str">
        <f t="shared" si="42"/>
        <v/>
      </c>
      <c r="HB51" s="61" t="str">
        <f t="shared" si="43"/>
        <v/>
      </c>
      <c r="HC51" s="61" t="str">
        <f t="shared" si="44"/>
        <v/>
      </c>
      <c r="HD51" s="61" t="str">
        <f t="shared" si="45"/>
        <v>x</v>
      </c>
      <c r="HE51" s="61" t="str">
        <f t="shared" si="46"/>
        <v/>
      </c>
      <c r="HF51" s="61" t="str">
        <f t="shared" si="47"/>
        <v/>
      </c>
      <c r="HG51" s="61" t="str">
        <f t="shared" si="48"/>
        <v/>
      </c>
      <c r="HH51" s="61" t="str">
        <f t="shared" si="49"/>
        <v/>
      </c>
      <c r="HI51" s="61" t="str">
        <f t="shared" si="50"/>
        <v>x</v>
      </c>
      <c r="HJ51" s="61" t="str">
        <f t="shared" si="51"/>
        <v>x</v>
      </c>
      <c r="HK51" s="61" t="str">
        <f t="shared" si="52"/>
        <v/>
      </c>
      <c r="HL51" s="61" t="str">
        <f t="shared" si="53"/>
        <v/>
      </c>
      <c r="HM51" s="61" t="str">
        <f t="shared" si="54"/>
        <v/>
      </c>
      <c r="HN51" s="61" t="str">
        <f t="shared" si="55"/>
        <v/>
      </c>
      <c r="HO51" s="61" t="str">
        <f t="shared" si="56"/>
        <v>x</v>
      </c>
      <c r="HP51" s="61" t="str">
        <f t="shared" si="57"/>
        <v/>
      </c>
      <c r="HQ51" s="61" t="str">
        <f t="shared" si="58"/>
        <v/>
      </c>
      <c r="HR51" s="61" t="str">
        <f t="shared" si="59"/>
        <v/>
      </c>
      <c r="HS51" s="61" t="str">
        <f t="shared" si="60"/>
        <v/>
      </c>
      <c r="HT51" s="61" t="str">
        <f t="shared" si="61"/>
        <v>x</v>
      </c>
      <c r="HU51" s="61" t="str">
        <f t="shared" si="62"/>
        <v/>
      </c>
      <c r="HV51" s="61" t="str">
        <f t="shared" si="63"/>
        <v/>
      </c>
      <c r="HW51" s="61" t="str">
        <f t="shared" si="64"/>
        <v/>
      </c>
      <c r="HX51" s="61" t="str">
        <f t="shared" si="65"/>
        <v/>
      </c>
      <c r="HY51" s="61" t="str">
        <f t="shared" si="66"/>
        <v/>
      </c>
      <c r="HZ51" s="61" t="str">
        <f t="shared" si="67"/>
        <v/>
      </c>
    </row>
    <row r="52" ht="15.0" customHeight="1">
      <c r="A52" s="49" t="s">
        <v>786</v>
      </c>
      <c r="B52" s="80" t="s">
        <v>787</v>
      </c>
      <c r="C52" s="113" t="s">
        <v>788</v>
      </c>
      <c r="D52" s="80" t="s">
        <v>301</v>
      </c>
      <c r="E52" s="107">
        <f t="shared" si="3"/>
        <v>2</v>
      </c>
      <c r="F52" s="80" t="s">
        <v>210</v>
      </c>
      <c r="G52" s="80" t="s">
        <v>217</v>
      </c>
      <c r="H52" s="80">
        <v>2012.0</v>
      </c>
      <c r="Q52" s="61" t="b">
        <f t="shared" si="105"/>
        <v>1</v>
      </c>
      <c r="R52" s="61" t="b">
        <f t="shared" si="231"/>
        <v>1</v>
      </c>
      <c r="S52" s="80">
        <v>8.0</v>
      </c>
      <c r="T52" s="80">
        <v>8.0</v>
      </c>
      <c r="U52" s="80">
        <v>7.0</v>
      </c>
      <c r="V52" s="61" t="b">
        <f t="shared" si="232"/>
        <v>1</v>
      </c>
      <c r="W52" s="80">
        <v>7.0</v>
      </c>
      <c r="X52" s="80">
        <v>8.0</v>
      </c>
      <c r="Y52" s="80">
        <v>8.0</v>
      </c>
      <c r="AC52" s="114" t="s">
        <v>789</v>
      </c>
      <c r="AD52" s="80" t="s">
        <v>464</v>
      </c>
      <c r="AG52" s="80" t="s">
        <v>591</v>
      </c>
      <c r="AI52" s="80" t="s">
        <v>250</v>
      </c>
      <c r="AR52" s="74"/>
      <c r="AS52" s="74"/>
      <c r="AT52" s="74"/>
      <c r="AU52" s="74"/>
      <c r="AV52" s="74"/>
      <c r="AW52" s="74"/>
      <c r="AX52" s="73" t="s">
        <v>217</v>
      </c>
      <c r="AY52" s="74"/>
      <c r="AZ52" s="74"/>
      <c r="BA52" s="74"/>
      <c r="BB52" s="109" t="str">
        <f t="shared" si="106"/>
        <v/>
      </c>
      <c r="BC52" s="73" t="s">
        <v>217</v>
      </c>
      <c r="BD52" s="73" t="s">
        <v>217</v>
      </c>
      <c r="BE52" s="74"/>
      <c r="BF52" s="74"/>
      <c r="BG52" s="74"/>
      <c r="BH52" s="74"/>
      <c r="BI52" s="74"/>
      <c r="BJ52" s="74"/>
      <c r="BK52" s="74"/>
      <c r="BL52" s="74"/>
      <c r="BM52" s="74"/>
      <c r="BN52" s="74"/>
      <c r="BO52" s="74"/>
      <c r="BP52" s="73" t="s">
        <v>217</v>
      </c>
      <c r="BQ52" s="74"/>
      <c r="BR52" s="74"/>
      <c r="BS52" s="74"/>
      <c r="BT52" s="74"/>
      <c r="BU52" s="74"/>
      <c r="BV52" s="73" t="s">
        <v>217</v>
      </c>
      <c r="BW52" s="74"/>
      <c r="BX52" s="73" t="s">
        <v>217</v>
      </c>
      <c r="BY52" s="74"/>
      <c r="BZ52" s="74"/>
      <c r="CA52" s="73" t="s">
        <v>217</v>
      </c>
      <c r="CB52" s="74"/>
      <c r="CC52" s="74"/>
      <c r="CD52" s="74"/>
      <c r="CE52" s="74"/>
      <c r="CF52" s="74"/>
      <c r="CG52" s="73" t="s">
        <v>217</v>
      </c>
      <c r="CH52" s="74"/>
      <c r="CI52" s="110" t="str">
        <f t="shared" si="233"/>
        <v/>
      </c>
      <c r="CJ52" s="74"/>
      <c r="CK52" s="73" t="s">
        <v>217</v>
      </c>
      <c r="CL52" s="74"/>
      <c r="CM52" s="74"/>
      <c r="CN52" s="73" t="s">
        <v>217</v>
      </c>
      <c r="CO52" s="74"/>
      <c r="CP52" s="74"/>
      <c r="CQ52" s="73" t="s">
        <v>217</v>
      </c>
      <c r="CY52" s="80" t="s">
        <v>217</v>
      </c>
      <c r="CZ52" s="80" t="s">
        <v>217</v>
      </c>
      <c r="DG52" s="61">
        <f t="shared" si="108"/>
        <v>2</v>
      </c>
      <c r="DK52" s="80" t="s">
        <v>217</v>
      </c>
      <c r="DO52" s="80" t="s">
        <v>217</v>
      </c>
      <c r="DP52" s="61" t="str">
        <f t="shared" si="109"/>
        <v/>
      </c>
      <c r="DQ52" s="61" t="str">
        <f t="shared" si="110"/>
        <v/>
      </c>
      <c r="DR52" s="61" t="str">
        <f t="shared" si="111"/>
        <v>FA</v>
      </c>
      <c r="DS52" s="74"/>
      <c r="DT52" s="74"/>
      <c r="DU52" s="74"/>
      <c r="DV52" s="74"/>
      <c r="DW52" s="73" t="s">
        <v>217</v>
      </c>
      <c r="DX52" s="73" t="s">
        <v>790</v>
      </c>
      <c r="DY52" s="110">
        <f t="shared" si="29"/>
        <v>2</v>
      </c>
      <c r="DZ52" s="110" t="str">
        <f t="shared" si="234"/>
        <v/>
      </c>
      <c r="EA52" s="73" t="s">
        <v>217</v>
      </c>
      <c r="EB52" s="74"/>
      <c r="EC52" s="74"/>
      <c r="ED52" s="74"/>
      <c r="EE52" s="110">
        <f t="shared" si="30"/>
        <v>1</v>
      </c>
      <c r="EF52" s="110" t="str">
        <f t="shared" si="70"/>
        <v>x</v>
      </c>
      <c r="EG52" s="61" t="str">
        <f t="shared" si="31"/>
        <v/>
      </c>
      <c r="EI52" s="80" t="s">
        <v>791</v>
      </c>
      <c r="EJ52" s="74"/>
      <c r="EK52" s="74"/>
      <c r="EL52" s="74"/>
      <c r="EM52" s="74"/>
      <c r="EN52" s="80" t="s">
        <v>217</v>
      </c>
      <c r="ES52" s="80" t="s">
        <v>792</v>
      </c>
      <c r="ET52" s="73">
        <v>3.0</v>
      </c>
      <c r="EU52" s="74"/>
      <c r="EV52" s="74"/>
      <c r="EW52" s="74"/>
      <c r="EX52" s="74"/>
      <c r="EZ52" s="80" t="s">
        <v>793</v>
      </c>
      <c r="FE52" s="97">
        <f t="shared" si="32"/>
        <v>0</v>
      </c>
      <c r="FF52" s="80">
        <v>1.0</v>
      </c>
      <c r="FG52" s="80">
        <v>1.0</v>
      </c>
      <c r="FH52" s="80">
        <v>0.0</v>
      </c>
      <c r="FI52" s="61">
        <f t="shared" si="228"/>
        <v>2</v>
      </c>
      <c r="FJ52" s="80">
        <v>0.0</v>
      </c>
      <c r="FK52" s="80">
        <v>0.0</v>
      </c>
      <c r="FL52" s="80" t="s">
        <v>189</v>
      </c>
      <c r="FM52" s="61" t="str">
        <f t="shared" ref="FM52:FM54" si="235">if(GP52&lt;1000, "0", if(GP52&lt;10000, "0.5","1"))</f>
        <v>0.5</v>
      </c>
      <c r="FN52" s="61">
        <f t="shared" si="230"/>
        <v>0</v>
      </c>
      <c r="FP52" s="80" t="s">
        <v>217</v>
      </c>
      <c r="FS52" s="80" t="s">
        <v>217</v>
      </c>
      <c r="FV52" s="73" t="s">
        <v>217</v>
      </c>
      <c r="FW52" s="80" t="s">
        <v>217</v>
      </c>
      <c r="FX52" s="80" t="s">
        <v>217</v>
      </c>
      <c r="FY52" s="80" t="s">
        <v>217</v>
      </c>
      <c r="GI52" s="80" t="s">
        <v>217</v>
      </c>
      <c r="GL52" s="80" t="s">
        <v>794</v>
      </c>
      <c r="GM52" s="80" t="s">
        <v>217</v>
      </c>
      <c r="GN52" s="80">
        <v>9.0</v>
      </c>
      <c r="GO52" s="80" t="s">
        <v>795</v>
      </c>
      <c r="GP52" s="80">
        <v>4281.0</v>
      </c>
      <c r="GQ52" s="80" t="s">
        <v>796</v>
      </c>
      <c r="GS52" s="80" t="s">
        <v>217</v>
      </c>
      <c r="GU52" s="61" t="str">
        <f t="shared" si="36"/>
        <v/>
      </c>
      <c r="GV52" s="61" t="str">
        <f t="shared" si="37"/>
        <v/>
      </c>
      <c r="GW52" s="61" t="str">
        <f t="shared" si="38"/>
        <v/>
      </c>
      <c r="GX52" s="61" t="str">
        <f t="shared" si="39"/>
        <v>x</v>
      </c>
      <c r="GY52" s="61" t="str">
        <f t="shared" si="40"/>
        <v>x</v>
      </c>
      <c r="GZ52" s="61" t="str">
        <f t="shared" si="41"/>
        <v/>
      </c>
      <c r="HA52" s="61" t="str">
        <f t="shared" si="42"/>
        <v/>
      </c>
      <c r="HB52" s="61" t="str">
        <f t="shared" si="43"/>
        <v/>
      </c>
      <c r="HC52" s="61" t="str">
        <f t="shared" si="44"/>
        <v/>
      </c>
      <c r="HD52" s="61" t="str">
        <f t="shared" si="45"/>
        <v/>
      </c>
      <c r="HE52" s="61" t="str">
        <f t="shared" si="46"/>
        <v/>
      </c>
      <c r="HF52" s="61" t="str">
        <f t="shared" si="47"/>
        <v/>
      </c>
      <c r="HG52" s="61" t="str">
        <f t="shared" si="48"/>
        <v/>
      </c>
      <c r="HH52" s="61" t="str">
        <f t="shared" si="49"/>
        <v/>
      </c>
      <c r="HI52" s="61" t="str">
        <f t="shared" si="50"/>
        <v>x</v>
      </c>
      <c r="HJ52" s="61" t="str">
        <f t="shared" si="51"/>
        <v>x</v>
      </c>
      <c r="HK52" s="61" t="str">
        <f t="shared" si="52"/>
        <v/>
      </c>
      <c r="HL52" s="61" t="str">
        <f t="shared" si="53"/>
        <v/>
      </c>
      <c r="HM52" s="61" t="str">
        <f t="shared" si="54"/>
        <v/>
      </c>
      <c r="HN52" s="61" t="str">
        <f t="shared" si="55"/>
        <v/>
      </c>
      <c r="HO52" s="61" t="str">
        <f t="shared" si="56"/>
        <v/>
      </c>
      <c r="HP52" s="61" t="str">
        <f t="shared" si="57"/>
        <v/>
      </c>
      <c r="HQ52" s="61" t="str">
        <f t="shared" si="58"/>
        <v/>
      </c>
      <c r="HR52" s="61" t="str">
        <f t="shared" si="59"/>
        <v/>
      </c>
      <c r="HS52" s="61" t="str">
        <f t="shared" si="60"/>
        <v/>
      </c>
      <c r="HT52" s="61" t="str">
        <f t="shared" si="61"/>
        <v/>
      </c>
      <c r="HU52" s="61" t="str">
        <f t="shared" si="62"/>
        <v/>
      </c>
      <c r="HV52" s="61" t="str">
        <f t="shared" si="63"/>
        <v/>
      </c>
      <c r="HW52" s="61" t="str">
        <f t="shared" si="64"/>
        <v>x</v>
      </c>
      <c r="HX52" s="61" t="str">
        <f t="shared" si="65"/>
        <v/>
      </c>
      <c r="HY52" s="61" t="str">
        <f t="shared" si="66"/>
        <v/>
      </c>
      <c r="HZ52" s="61" t="str">
        <f t="shared" si="67"/>
        <v/>
      </c>
    </row>
    <row r="53" ht="15.0" customHeight="1">
      <c r="A53" s="49" t="s">
        <v>797</v>
      </c>
      <c r="B53" s="87" t="s">
        <v>798</v>
      </c>
      <c r="C53" s="113" t="s">
        <v>799</v>
      </c>
      <c r="D53" s="80" t="s">
        <v>301</v>
      </c>
      <c r="E53" s="107">
        <f t="shared" si="3"/>
        <v>2</v>
      </c>
      <c r="F53" s="80" t="s">
        <v>210</v>
      </c>
      <c r="G53" s="80" t="s">
        <v>217</v>
      </c>
      <c r="H53" s="80">
        <v>2012.0</v>
      </c>
      <c r="J53" s="80" t="s">
        <v>800</v>
      </c>
      <c r="Q53" s="61" t="b">
        <f t="shared" si="105"/>
        <v>1</v>
      </c>
      <c r="R53" s="61" t="b">
        <f t="shared" si="231"/>
        <v>1</v>
      </c>
      <c r="S53" s="80">
        <v>8.0</v>
      </c>
      <c r="T53" s="80">
        <v>7.0</v>
      </c>
      <c r="U53" s="80">
        <v>7.0</v>
      </c>
      <c r="V53" s="61" t="b">
        <f t="shared" si="232"/>
        <v>1</v>
      </c>
      <c r="W53" s="80">
        <v>5.0</v>
      </c>
      <c r="X53" s="80">
        <v>7.0</v>
      </c>
      <c r="Y53" s="80">
        <v>8.0</v>
      </c>
      <c r="AC53" s="114" t="s">
        <v>801</v>
      </c>
      <c r="AD53" s="80" t="s">
        <v>266</v>
      </c>
      <c r="AG53" s="80" t="s">
        <v>267</v>
      </c>
      <c r="AI53" s="80" t="s">
        <v>250</v>
      </c>
      <c r="AR53" s="74"/>
      <c r="AS53" s="74"/>
      <c r="AT53" s="74"/>
      <c r="AU53" s="74"/>
      <c r="AV53" s="73" t="s">
        <v>217</v>
      </c>
      <c r="AW53" s="74"/>
      <c r="AX53" s="74"/>
      <c r="AY53" s="74"/>
      <c r="AZ53" s="74"/>
      <c r="BA53" s="74"/>
      <c r="BB53" s="109" t="str">
        <f t="shared" si="106"/>
        <v/>
      </c>
      <c r="BC53" s="74"/>
      <c r="BD53" s="74"/>
      <c r="BE53" s="73" t="s">
        <v>217</v>
      </c>
      <c r="BF53" s="73" t="s">
        <v>217</v>
      </c>
      <c r="BG53" s="73" t="s">
        <v>217</v>
      </c>
      <c r="BH53" s="74"/>
      <c r="BI53" s="74"/>
      <c r="BJ53" s="73" t="s">
        <v>217</v>
      </c>
      <c r="BK53" s="74"/>
      <c r="BL53" s="74"/>
      <c r="BM53" s="74"/>
      <c r="BN53" s="73" t="s">
        <v>218</v>
      </c>
      <c r="BO53" s="74"/>
      <c r="BP53" s="73" t="s">
        <v>217</v>
      </c>
      <c r="BQ53" s="74"/>
      <c r="BR53" s="74"/>
      <c r="BS53" s="74"/>
      <c r="BT53" s="74"/>
      <c r="BU53" s="74"/>
      <c r="BV53" s="73" t="s">
        <v>217</v>
      </c>
      <c r="BW53" s="74"/>
      <c r="BX53" s="74"/>
      <c r="BY53" s="73" t="s">
        <v>217</v>
      </c>
      <c r="BZ53" s="74"/>
      <c r="CA53" s="74"/>
      <c r="CB53" s="74"/>
      <c r="CC53" s="74"/>
      <c r="CD53" s="73" t="s">
        <v>217</v>
      </c>
      <c r="CE53" s="74"/>
      <c r="CF53" s="74"/>
      <c r="CG53" s="74"/>
      <c r="CH53" s="73" t="s">
        <v>217</v>
      </c>
      <c r="CI53" s="110" t="str">
        <f t="shared" si="233"/>
        <v/>
      </c>
      <c r="CJ53" s="74"/>
      <c r="CK53" s="73" t="s">
        <v>217</v>
      </c>
      <c r="CL53" s="74"/>
      <c r="CM53" s="74"/>
      <c r="CN53" s="74"/>
      <c r="CO53" s="74"/>
      <c r="CP53" s="74"/>
      <c r="CQ53" s="74"/>
      <c r="CR53" s="80" t="s">
        <v>217</v>
      </c>
      <c r="DD53" s="80" t="s">
        <v>217</v>
      </c>
      <c r="DF53" s="80" t="s">
        <v>217</v>
      </c>
      <c r="DG53" s="61">
        <f t="shared" si="108"/>
        <v>2</v>
      </c>
      <c r="DH53" s="80" t="s">
        <v>217</v>
      </c>
      <c r="DL53" s="80" t="s">
        <v>217</v>
      </c>
      <c r="DO53" s="80" t="s">
        <v>217</v>
      </c>
      <c r="DP53" s="61" t="str">
        <f t="shared" si="109"/>
        <v/>
      </c>
      <c r="DQ53" s="61" t="str">
        <f t="shared" si="110"/>
        <v/>
      </c>
      <c r="DR53" s="61" t="str">
        <f t="shared" si="111"/>
        <v>FA</v>
      </c>
      <c r="DS53" s="73" t="s">
        <v>268</v>
      </c>
      <c r="DT53" s="74"/>
      <c r="DU53" s="74"/>
      <c r="DV53" s="74"/>
      <c r="DW53" s="74"/>
      <c r="DX53" s="74"/>
      <c r="DY53" s="110">
        <f t="shared" si="29"/>
        <v>1</v>
      </c>
      <c r="DZ53" s="110" t="str">
        <f t="shared" si="234"/>
        <v/>
      </c>
      <c r="EA53" s="74"/>
      <c r="EB53" s="74"/>
      <c r="EC53" s="73" t="s">
        <v>217</v>
      </c>
      <c r="ED53" s="74"/>
      <c r="EE53" s="110">
        <f t="shared" si="30"/>
        <v>1</v>
      </c>
      <c r="EF53" s="110" t="str">
        <f t="shared" si="70"/>
        <v>x</v>
      </c>
      <c r="EG53" s="61" t="str">
        <f t="shared" si="31"/>
        <v/>
      </c>
      <c r="EI53" s="80" t="s">
        <v>802</v>
      </c>
      <c r="EJ53" s="74"/>
      <c r="EK53" s="74"/>
      <c r="EL53" s="74"/>
      <c r="EM53" s="74"/>
      <c r="ES53" s="80" t="s">
        <v>803</v>
      </c>
      <c r="ET53" s="73">
        <v>2.0</v>
      </c>
      <c r="EU53" s="74"/>
      <c r="EV53" s="74"/>
      <c r="EW53" s="74"/>
      <c r="EX53" s="74"/>
      <c r="EZ53" s="80" t="s">
        <v>804</v>
      </c>
      <c r="FA53" s="80" t="s">
        <v>805</v>
      </c>
      <c r="FD53" s="80" t="s">
        <v>256</v>
      </c>
      <c r="FE53" s="97">
        <f t="shared" si="32"/>
        <v>2</v>
      </c>
      <c r="FF53" s="80">
        <v>0.5</v>
      </c>
      <c r="FG53" s="80">
        <v>1.0</v>
      </c>
      <c r="FH53" s="80">
        <v>1.0</v>
      </c>
      <c r="FI53" s="61">
        <f t="shared" si="228"/>
        <v>2.5</v>
      </c>
      <c r="FJ53" s="80">
        <v>0.0</v>
      </c>
      <c r="FK53" s="80">
        <v>0.0</v>
      </c>
      <c r="FL53" s="80" t="s">
        <v>189</v>
      </c>
      <c r="FM53" s="61" t="str">
        <f t="shared" si="235"/>
        <v>1</v>
      </c>
      <c r="FN53" s="61">
        <f t="shared" si="230"/>
        <v>0</v>
      </c>
      <c r="FP53" s="80" t="s">
        <v>217</v>
      </c>
      <c r="FR53" s="80" t="s">
        <v>217</v>
      </c>
      <c r="FV53" s="74"/>
      <c r="FW53" s="80" t="s">
        <v>217</v>
      </c>
      <c r="GD53" s="80" t="s">
        <v>217</v>
      </c>
      <c r="GN53" s="80">
        <v>5.0</v>
      </c>
      <c r="GO53" s="80" t="s">
        <v>806</v>
      </c>
      <c r="GP53" s="80">
        <v>69334.0</v>
      </c>
      <c r="GQ53" s="80" t="s">
        <v>807</v>
      </c>
      <c r="GR53" s="80" t="s">
        <v>217</v>
      </c>
      <c r="GS53" s="80" t="s">
        <v>217</v>
      </c>
      <c r="GU53" s="61" t="str">
        <f t="shared" si="36"/>
        <v/>
      </c>
      <c r="GV53" s="61" t="str">
        <f t="shared" si="37"/>
        <v/>
      </c>
      <c r="GW53" s="61" t="str">
        <f t="shared" si="38"/>
        <v/>
      </c>
      <c r="GX53" s="61" t="str">
        <f t="shared" si="39"/>
        <v/>
      </c>
      <c r="GY53" s="61" t="str">
        <f t="shared" si="40"/>
        <v/>
      </c>
      <c r="GZ53" s="61" t="str">
        <f t="shared" si="41"/>
        <v/>
      </c>
      <c r="HA53" s="61" t="str">
        <f t="shared" si="42"/>
        <v/>
      </c>
      <c r="HB53" s="61" t="str">
        <f t="shared" si="43"/>
        <v/>
      </c>
      <c r="HC53" s="61" t="str">
        <f t="shared" si="44"/>
        <v/>
      </c>
      <c r="HD53" s="61" t="str">
        <f t="shared" si="45"/>
        <v/>
      </c>
      <c r="HE53" s="61" t="str">
        <f t="shared" si="46"/>
        <v/>
      </c>
      <c r="HF53" s="61" t="str">
        <f t="shared" si="47"/>
        <v/>
      </c>
      <c r="HG53" s="61" t="str">
        <f t="shared" si="48"/>
        <v/>
      </c>
      <c r="HH53" s="61" t="str">
        <f t="shared" si="49"/>
        <v/>
      </c>
      <c r="HI53" s="61" t="str">
        <f t="shared" si="50"/>
        <v/>
      </c>
      <c r="HJ53" s="61" t="str">
        <f t="shared" si="51"/>
        <v/>
      </c>
      <c r="HK53" s="61" t="str">
        <f t="shared" si="52"/>
        <v/>
      </c>
      <c r="HL53" s="61" t="str">
        <f t="shared" si="53"/>
        <v/>
      </c>
      <c r="HM53" s="61" t="str">
        <f t="shared" si="54"/>
        <v/>
      </c>
      <c r="HN53" s="61" t="str">
        <f t="shared" si="55"/>
        <v/>
      </c>
      <c r="HO53" s="61" t="str">
        <f t="shared" si="56"/>
        <v/>
      </c>
      <c r="HP53" s="61" t="str">
        <f t="shared" si="57"/>
        <v/>
      </c>
      <c r="HQ53" s="61" t="str">
        <f t="shared" si="58"/>
        <v/>
      </c>
      <c r="HR53" s="61" t="str">
        <f t="shared" si="59"/>
        <v/>
      </c>
      <c r="HS53" s="61" t="str">
        <f t="shared" si="60"/>
        <v/>
      </c>
      <c r="HT53" s="61" t="str">
        <f t="shared" si="61"/>
        <v/>
      </c>
      <c r="HU53" s="61" t="str">
        <f t="shared" si="62"/>
        <v/>
      </c>
      <c r="HV53" s="61" t="str">
        <f t="shared" si="63"/>
        <v/>
      </c>
      <c r="HW53" s="61" t="str">
        <f t="shared" si="64"/>
        <v/>
      </c>
      <c r="HX53" s="61" t="str">
        <f t="shared" si="65"/>
        <v/>
      </c>
      <c r="HY53" s="61" t="str">
        <f t="shared" si="66"/>
        <v/>
      </c>
      <c r="HZ53" s="61" t="str">
        <f t="shared" si="67"/>
        <v/>
      </c>
    </row>
    <row r="54" ht="9.75" customHeight="1">
      <c r="A54" s="49" t="s">
        <v>808</v>
      </c>
      <c r="B54" s="80" t="s">
        <v>809</v>
      </c>
      <c r="C54" s="113" t="s">
        <v>810</v>
      </c>
      <c r="D54" s="80" t="s">
        <v>245</v>
      </c>
      <c r="E54" s="107">
        <f t="shared" si="3"/>
        <v>3</v>
      </c>
      <c r="F54" s="80" t="s">
        <v>210</v>
      </c>
      <c r="G54" s="80" t="s">
        <v>211</v>
      </c>
      <c r="H54" s="80">
        <v>2005.0</v>
      </c>
      <c r="J54" s="80" t="s">
        <v>811</v>
      </c>
      <c r="K54" s="61" t="str">
        <f t="shared" ref="K54:K61" si="236">if(AND(D54="Aysu", F54="Vahid"), 1, "")</f>
        <v/>
      </c>
      <c r="L54" s="61" t="str">
        <f t="shared" ref="L54:L61" si="237">if(AND(D54="Aysu", F54="Ali"), 1, "")</f>
        <v/>
      </c>
      <c r="M54" s="61" t="str">
        <f t="shared" ref="M54:M61" si="238">if(AND(D54="Vahid", F54="Aysu"), 1, "")</f>
        <v/>
      </c>
      <c r="N54" s="61" t="str">
        <f t="shared" ref="N54:N61" si="239">if(AND(D54="Vahid", F54="Ali"), 1, "")</f>
        <v/>
      </c>
      <c r="O54" s="61">
        <f t="shared" ref="O54:O61" si="240">if(AND(D54="Ali", F54="Vahid"), 1, "")</f>
        <v>1</v>
      </c>
      <c r="P54" s="61" t="str">
        <f t="shared" ref="P54:P61" si="241">if(AND(D54="Ali", F54="Aysu"), 1, "")</f>
        <v/>
      </c>
      <c r="Q54" s="61" t="b">
        <f t="shared" si="105"/>
        <v>1</v>
      </c>
      <c r="R54" s="61" t="b">
        <f t="shared" ref="R54:R60" si="242">SUM(S54:U54)&gt;=2</f>
        <v>1</v>
      </c>
      <c r="S54" s="80">
        <v>1.0</v>
      </c>
      <c r="T54" s="80">
        <v>1.0</v>
      </c>
      <c r="U54" s="80">
        <v>1.0</v>
      </c>
      <c r="V54" s="61" t="b">
        <f t="shared" ref="V54:V60" si="243">SUM(W54:Y54)&gt;=2</f>
        <v>1</v>
      </c>
      <c r="W54" s="80">
        <v>1.0</v>
      </c>
      <c r="X54" s="80">
        <v>1.0</v>
      </c>
      <c r="Y54" s="80">
        <v>1.0</v>
      </c>
      <c r="AA54" s="61" t="str">
        <f t="shared" ref="AA54:AA61" si="244">iferror(if(find("Pollock", AC54)&gt;0,concat(J54,", "), ""))</f>
        <v/>
      </c>
      <c r="AB54" s="61" t="str">
        <f t="shared" ref="AB54:AB61" si="245">if(GI54="x",concat(J54,", "), "")</f>
        <v/>
      </c>
      <c r="AC54" s="114" t="s">
        <v>812</v>
      </c>
      <c r="AD54" s="80" t="s">
        <v>266</v>
      </c>
      <c r="AF54" s="61">
        <f>countif('Charts-SLR'!A:A,AD54)</f>
        <v>1</v>
      </c>
      <c r="AG54" s="80" t="s">
        <v>361</v>
      </c>
      <c r="AH54" s="61">
        <f t="shared" ref="AH54:AH61" si="246">countif({},AG54)</f>
        <v>0</v>
      </c>
      <c r="AI54" s="80" t="s">
        <v>231</v>
      </c>
      <c r="AJ54" s="61">
        <f>158+153</f>
        <v>311</v>
      </c>
      <c r="AK54" s="108">
        <f t="shared" ref="AK54:AK61" si="247">AJ54/(2012-H54)</f>
        <v>44.42857143</v>
      </c>
      <c r="AL54" s="61">
        <f t="shared" ref="AL54:AL61" si="248">if(AI54="J",AJ54,"")</f>
        <v>311</v>
      </c>
      <c r="AM54" s="61" t="str">
        <f t="shared" ref="AM54:AM61" si="249">if(AI54="C",AJ54,"")</f>
        <v/>
      </c>
      <c r="AN54" s="61" t="str">
        <f t="shared" ref="AN54:AN61" si="250">if(AI54="W", AJ54,"")</f>
        <v/>
      </c>
      <c r="AO54" s="61" t="str">
        <f t="shared" ref="AO54:AO61" si="251">if(AI54="M",AJ54,"")</f>
        <v/>
      </c>
      <c r="AP54" s="61" t="str">
        <f t="shared" ref="AP54:AP61" si="252">if(AI54="S",AJ54,"")</f>
        <v/>
      </c>
      <c r="AQ54" s="61" t="str">
        <f t="shared" ref="AQ54:AQ61" si="253">if(BH54="x",concat(J54,", "), "")</f>
        <v/>
      </c>
      <c r="AR54" s="74"/>
      <c r="AS54" s="74"/>
      <c r="AT54" s="74"/>
      <c r="AU54" s="74"/>
      <c r="AV54" s="73" t="s">
        <v>217</v>
      </c>
      <c r="AW54" s="74"/>
      <c r="AX54" s="74"/>
      <c r="AY54" s="74"/>
      <c r="AZ54" s="74"/>
      <c r="BA54" s="74"/>
      <c r="BB54" s="109" t="str">
        <f t="shared" si="106"/>
        <v/>
      </c>
      <c r="BC54" s="73" t="s">
        <v>217</v>
      </c>
      <c r="BD54" s="74"/>
      <c r="BE54" s="74"/>
      <c r="BF54" s="74"/>
      <c r="BG54" s="74"/>
      <c r="BH54" s="74"/>
      <c r="BI54" s="110">
        <f t="shared" ref="BI54:BI61" si="254">COUNTA(BC54:BH54)</f>
        <v>1</v>
      </c>
      <c r="BJ54" s="74"/>
      <c r="BK54" s="74"/>
      <c r="BL54" s="74"/>
      <c r="BM54" s="74"/>
      <c r="BN54" s="74"/>
      <c r="BO54" s="74"/>
      <c r="BP54" s="74"/>
      <c r="BQ54" s="73" t="s">
        <v>217</v>
      </c>
      <c r="BR54" s="74"/>
      <c r="BS54" s="74"/>
      <c r="BT54" s="74"/>
      <c r="BU54" s="74"/>
      <c r="BV54" s="73" t="s">
        <v>217</v>
      </c>
      <c r="BW54" s="73" t="s">
        <v>217</v>
      </c>
      <c r="BX54" s="74"/>
      <c r="BY54" s="73" t="s">
        <v>217</v>
      </c>
      <c r="BZ54" s="74"/>
      <c r="CA54" s="74"/>
      <c r="CB54" s="74"/>
      <c r="CC54" s="74"/>
      <c r="CD54" s="74"/>
      <c r="CE54" s="74"/>
      <c r="CF54" s="74"/>
      <c r="CG54" s="74"/>
      <c r="CH54" s="73" t="s">
        <v>217</v>
      </c>
      <c r="CI54" s="111" t="str">
        <f t="shared" si="233"/>
        <v/>
      </c>
      <c r="CJ54" s="110">
        <f t="shared" ref="CJ54:CJ61" si="255">if(CG54="x", 1, if(CH54="x", 2, 3))</f>
        <v>2</v>
      </c>
      <c r="CK54" s="73" t="s">
        <v>217</v>
      </c>
      <c r="CL54" s="74"/>
      <c r="CM54" s="73" t="s">
        <v>217</v>
      </c>
      <c r="CN54" s="73" t="s">
        <v>217</v>
      </c>
      <c r="CO54" s="74"/>
      <c r="CP54" s="74"/>
      <c r="CQ54" s="74"/>
      <c r="CR54" s="80" t="s">
        <v>217</v>
      </c>
      <c r="CY54" s="80" t="s">
        <v>217</v>
      </c>
      <c r="DG54" s="61">
        <f t="shared" si="108"/>
        <v>1</v>
      </c>
      <c r="DH54" s="80" t="s">
        <v>217</v>
      </c>
      <c r="DI54" s="80" t="s">
        <v>217</v>
      </c>
      <c r="DM54" s="61">
        <f t="shared" ref="DM54:DM61" si="256">counta(DH54:DL54)</f>
        <v>2</v>
      </c>
      <c r="DO54" s="80" t="s">
        <v>217</v>
      </c>
      <c r="DP54" s="61" t="str">
        <f t="shared" si="109"/>
        <v/>
      </c>
      <c r="DQ54" s="61" t="str">
        <f t="shared" si="110"/>
        <v/>
      </c>
      <c r="DR54" s="61" t="str">
        <f t="shared" si="111"/>
        <v>FA</v>
      </c>
      <c r="DS54" s="73" t="s">
        <v>813</v>
      </c>
      <c r="DT54" s="74"/>
      <c r="DU54" s="74"/>
      <c r="DV54" s="74"/>
      <c r="DW54" s="73" t="s">
        <v>217</v>
      </c>
      <c r="DX54" s="74"/>
      <c r="DY54" s="110">
        <f t="shared" si="29"/>
        <v>2</v>
      </c>
      <c r="DZ54" s="74"/>
      <c r="EA54" s="74"/>
      <c r="EB54" s="73" t="s">
        <v>217</v>
      </c>
      <c r="EC54" s="74"/>
      <c r="ED54" s="74"/>
      <c r="EE54" s="110">
        <f t="shared" si="30"/>
        <v>1</v>
      </c>
      <c r="EF54" s="110" t="str">
        <f t="shared" si="70"/>
        <v>x</v>
      </c>
      <c r="EG54" s="61" t="str">
        <f t="shared" si="31"/>
        <v/>
      </c>
      <c r="EI54" s="80" t="s">
        <v>814</v>
      </c>
      <c r="EJ54" s="74"/>
      <c r="EK54" s="74"/>
      <c r="EL54" s="74"/>
      <c r="EM54" s="73" t="s">
        <v>217</v>
      </c>
      <c r="EN54" s="80" t="s">
        <v>217</v>
      </c>
      <c r="ES54" s="80" t="s">
        <v>815</v>
      </c>
      <c r="ET54" s="73">
        <v>3.0</v>
      </c>
      <c r="EU54" s="74"/>
      <c r="EV54" s="74"/>
      <c r="EW54" s="74"/>
      <c r="EX54" s="74"/>
      <c r="EZ54" s="80" t="s">
        <v>816</v>
      </c>
      <c r="FA54" s="80" t="s">
        <v>817</v>
      </c>
      <c r="FD54" s="80" t="s">
        <v>818</v>
      </c>
      <c r="FE54" s="97">
        <f t="shared" si="32"/>
        <v>2</v>
      </c>
      <c r="FF54" s="80">
        <v>1.0</v>
      </c>
      <c r="FG54" s="80">
        <v>1.0</v>
      </c>
      <c r="FH54" s="80">
        <v>1.0</v>
      </c>
      <c r="FI54" s="61">
        <f t="shared" si="228"/>
        <v>3</v>
      </c>
      <c r="FJ54" s="80">
        <v>0.0</v>
      </c>
      <c r="FK54" s="80">
        <v>0.0</v>
      </c>
      <c r="FL54" s="80" t="s">
        <v>189</v>
      </c>
      <c r="FM54" s="61" t="str">
        <f t="shared" si="235"/>
        <v>0</v>
      </c>
      <c r="FN54" s="61">
        <f t="shared" si="230"/>
        <v>0</v>
      </c>
      <c r="FP54" s="80" t="s">
        <v>217</v>
      </c>
      <c r="FQ54" s="61" t="str">
        <f t="shared" ref="FQ54:FQ61" si="257">if(and(FO54="",FP54=""), "both", "")</f>
        <v/>
      </c>
      <c r="FR54" s="80" t="s">
        <v>217</v>
      </c>
      <c r="FT54" s="61" t="str">
        <f t="shared" ref="FT54:FT61" si="258">if(and(FS54="x",FR54="x"), "both", "")</f>
        <v/>
      </c>
      <c r="FU54" s="61" t="str">
        <f t="shared" ref="FU54:FU61" si="259">if(and(FR54="",FS54=""), "none", "")</f>
        <v/>
      </c>
      <c r="FV54" s="73" t="s">
        <v>217</v>
      </c>
      <c r="FY54" s="80" t="s">
        <v>217</v>
      </c>
      <c r="GH54" s="80" t="s">
        <v>217</v>
      </c>
      <c r="GN54" s="80">
        <v>1.0</v>
      </c>
      <c r="GO54" s="80" t="s">
        <v>819</v>
      </c>
      <c r="GP54" s="116"/>
      <c r="GQ54" s="80" t="s">
        <v>820</v>
      </c>
      <c r="GS54" s="80" t="s">
        <v>217</v>
      </c>
      <c r="GU54" s="61" t="str">
        <f t="shared" si="36"/>
        <v/>
      </c>
      <c r="GV54" s="61" t="str">
        <f t="shared" si="37"/>
        <v/>
      </c>
      <c r="GW54" s="61" t="str">
        <f t="shared" si="38"/>
        <v/>
      </c>
      <c r="GX54" s="61" t="str">
        <f t="shared" si="39"/>
        <v/>
      </c>
      <c r="GY54" s="61" t="str">
        <f t="shared" si="40"/>
        <v/>
      </c>
      <c r="GZ54" s="61" t="str">
        <f t="shared" si="41"/>
        <v/>
      </c>
      <c r="HA54" s="61" t="str">
        <f t="shared" si="42"/>
        <v/>
      </c>
      <c r="HB54" s="61" t="str">
        <f t="shared" si="43"/>
        <v/>
      </c>
      <c r="HC54" s="61" t="str">
        <f t="shared" si="44"/>
        <v/>
      </c>
      <c r="HD54" s="61" t="str">
        <f t="shared" si="45"/>
        <v/>
      </c>
      <c r="HE54" s="61" t="str">
        <f t="shared" si="46"/>
        <v/>
      </c>
      <c r="HF54" s="61" t="str">
        <f t="shared" si="47"/>
        <v/>
      </c>
      <c r="HG54" s="61" t="str">
        <f t="shared" si="48"/>
        <v/>
      </c>
      <c r="HH54" s="61" t="str">
        <f t="shared" si="49"/>
        <v/>
      </c>
      <c r="HI54" s="61" t="str">
        <f t="shared" si="50"/>
        <v/>
      </c>
      <c r="HJ54" s="61" t="str">
        <f t="shared" si="51"/>
        <v/>
      </c>
      <c r="HK54" s="61" t="str">
        <f t="shared" si="52"/>
        <v/>
      </c>
      <c r="HL54" s="61" t="str">
        <f t="shared" si="53"/>
        <v/>
      </c>
      <c r="HM54" s="61" t="str">
        <f t="shared" si="54"/>
        <v/>
      </c>
      <c r="HN54" s="61" t="str">
        <f t="shared" si="55"/>
        <v/>
      </c>
      <c r="HO54" s="61" t="str">
        <f t="shared" si="56"/>
        <v/>
      </c>
      <c r="HP54" s="61" t="str">
        <f t="shared" si="57"/>
        <v/>
      </c>
      <c r="HQ54" s="61" t="str">
        <f t="shared" si="58"/>
        <v/>
      </c>
      <c r="HR54" s="61" t="str">
        <f t="shared" si="59"/>
        <v/>
      </c>
      <c r="HS54" s="61" t="str">
        <f t="shared" si="60"/>
        <v/>
      </c>
      <c r="HT54" s="61" t="str">
        <f t="shared" si="61"/>
        <v/>
      </c>
      <c r="HU54" s="61" t="str">
        <f t="shared" si="62"/>
        <v/>
      </c>
      <c r="HV54" s="61" t="str">
        <f t="shared" si="63"/>
        <v/>
      </c>
      <c r="HW54" s="61" t="str">
        <f t="shared" si="64"/>
        <v/>
      </c>
      <c r="HX54" s="61" t="str">
        <f t="shared" si="65"/>
        <v/>
      </c>
      <c r="HY54" s="61" t="str">
        <f t="shared" si="66"/>
        <v/>
      </c>
      <c r="HZ54" s="61" t="str">
        <f t="shared" si="67"/>
        <v/>
      </c>
    </row>
    <row r="55" ht="8.25" customHeight="1">
      <c r="A55" s="49" t="s">
        <v>821</v>
      </c>
      <c r="B55" s="95" t="s">
        <v>822</v>
      </c>
      <c r="C55" s="117" t="s">
        <v>823</v>
      </c>
      <c r="D55" s="95" t="s">
        <v>210</v>
      </c>
      <c r="E55" s="96" t="str">
        <f t="shared" si="3"/>
        <v/>
      </c>
      <c r="F55" s="95" t="s">
        <v>245</v>
      </c>
      <c r="G55" s="95" t="s">
        <v>211</v>
      </c>
      <c r="H55" s="95">
        <v>2006.0</v>
      </c>
      <c r="I55" s="7"/>
      <c r="J55" s="95" t="s">
        <v>824</v>
      </c>
      <c r="K55" s="97" t="str">
        <f t="shared" si="236"/>
        <v/>
      </c>
      <c r="L55" s="97" t="str">
        <f t="shared" si="237"/>
        <v/>
      </c>
      <c r="M55" s="97" t="str">
        <f t="shared" si="238"/>
        <v/>
      </c>
      <c r="N55" s="97">
        <f t="shared" si="239"/>
        <v>1</v>
      </c>
      <c r="O55" s="97" t="str">
        <f t="shared" si="240"/>
        <v/>
      </c>
      <c r="P55" s="97" t="str">
        <f t="shared" si="241"/>
        <v/>
      </c>
      <c r="Q55" s="97" t="b">
        <f t="shared" si="105"/>
        <v>1</v>
      </c>
      <c r="R55" s="97" t="b">
        <f t="shared" si="242"/>
        <v>1</v>
      </c>
      <c r="S55" s="95">
        <v>1.0</v>
      </c>
      <c r="T55" s="95">
        <v>1.0</v>
      </c>
      <c r="U55" s="95">
        <v>1.0</v>
      </c>
      <c r="V55" s="97" t="b">
        <f t="shared" si="243"/>
        <v>1</v>
      </c>
      <c r="W55" s="95">
        <v>1.0</v>
      </c>
      <c r="X55" s="95">
        <v>1.0</v>
      </c>
      <c r="Y55" s="95">
        <v>1.0</v>
      </c>
      <c r="Z55" s="95" t="s">
        <v>825</v>
      </c>
      <c r="AA55" s="97" t="str">
        <f t="shared" si="244"/>
        <v/>
      </c>
      <c r="AB55" s="97" t="str">
        <f t="shared" si="245"/>
        <v/>
      </c>
      <c r="AC55" s="98" t="s">
        <v>826</v>
      </c>
      <c r="AD55" s="95" t="s">
        <v>449</v>
      </c>
      <c r="AE55" s="7"/>
      <c r="AF55" s="97">
        <f>countif('Charts-SLR'!A:A,AD55)</f>
        <v>1</v>
      </c>
      <c r="AG55" s="95" t="s">
        <v>827</v>
      </c>
      <c r="AH55" s="97">
        <f t="shared" si="246"/>
        <v>0</v>
      </c>
      <c r="AI55" s="95" t="s">
        <v>250</v>
      </c>
      <c r="AJ55" s="95">
        <v>19.0</v>
      </c>
      <c r="AK55" s="99">
        <f t="shared" si="247"/>
        <v>3.166666667</v>
      </c>
      <c r="AL55" s="97" t="str">
        <f t="shared" si="248"/>
        <v/>
      </c>
      <c r="AM55" s="97">
        <f t="shared" si="249"/>
        <v>19</v>
      </c>
      <c r="AN55" s="97" t="str">
        <f t="shared" si="250"/>
        <v/>
      </c>
      <c r="AO55" s="97" t="str">
        <f t="shared" si="251"/>
        <v/>
      </c>
      <c r="AP55" s="97" t="str">
        <f t="shared" si="252"/>
        <v/>
      </c>
      <c r="AQ55" s="97" t="str">
        <f t="shared" si="253"/>
        <v/>
      </c>
      <c r="AR55" s="100"/>
      <c r="AS55" s="100"/>
      <c r="AT55" s="100"/>
      <c r="AU55" s="100"/>
      <c r="AV55" s="100"/>
      <c r="AW55" s="100"/>
      <c r="AX55" s="100"/>
      <c r="AY55" s="100"/>
      <c r="AZ55" s="100"/>
      <c r="BA55" s="100"/>
      <c r="BB55" s="101" t="str">
        <f t="shared" si="106"/>
        <v>ERR</v>
      </c>
      <c r="BC55" s="102" t="s">
        <v>217</v>
      </c>
      <c r="BD55" s="100"/>
      <c r="BE55" s="102" t="s">
        <v>217</v>
      </c>
      <c r="BF55" s="100"/>
      <c r="BG55" s="100"/>
      <c r="BH55" s="100"/>
      <c r="BI55" s="103">
        <f t="shared" si="254"/>
        <v>2</v>
      </c>
      <c r="BJ55" s="100"/>
      <c r="BK55" s="100"/>
      <c r="BL55" s="100"/>
      <c r="BM55" s="102" t="s">
        <v>828</v>
      </c>
      <c r="BN55" s="102" t="s">
        <v>829</v>
      </c>
      <c r="BO55" s="102" t="s">
        <v>217</v>
      </c>
      <c r="BP55" s="100"/>
      <c r="BQ55" s="100"/>
      <c r="BR55" s="100"/>
      <c r="BS55" s="100"/>
      <c r="BT55" s="100"/>
      <c r="BU55" s="74"/>
      <c r="BV55" s="100"/>
      <c r="BW55" s="100"/>
      <c r="BX55" s="102" t="s">
        <v>217</v>
      </c>
      <c r="BY55" s="100"/>
      <c r="BZ55" s="100"/>
      <c r="CA55" s="100"/>
      <c r="CB55" s="100"/>
      <c r="CC55" s="102" t="s">
        <v>217</v>
      </c>
      <c r="CD55" s="100"/>
      <c r="CE55" s="100"/>
      <c r="CF55" s="100"/>
      <c r="CG55" s="100"/>
      <c r="CH55" s="100"/>
      <c r="CI55" s="103" t="str">
        <f t="shared" si="233"/>
        <v/>
      </c>
      <c r="CJ55" s="103">
        <f t="shared" si="255"/>
        <v>3</v>
      </c>
      <c r="CK55" s="102" t="s">
        <v>217</v>
      </c>
      <c r="CL55" s="100"/>
      <c r="CM55" s="102" t="s">
        <v>217</v>
      </c>
      <c r="CN55" s="100"/>
      <c r="CO55" s="100"/>
      <c r="CP55" s="102" t="s">
        <v>217</v>
      </c>
      <c r="CQ55" s="102" t="s">
        <v>217</v>
      </c>
      <c r="CR55" s="7"/>
      <c r="CS55" s="7"/>
      <c r="CT55" s="7"/>
      <c r="CU55" s="7"/>
      <c r="CV55" s="7"/>
      <c r="CW55" s="7"/>
      <c r="CX55" s="7"/>
      <c r="CY55" s="7"/>
      <c r="CZ55" s="7"/>
      <c r="DA55" s="7"/>
      <c r="DB55" s="95" t="s">
        <v>217</v>
      </c>
      <c r="DC55" s="7"/>
      <c r="DD55" s="7"/>
      <c r="DE55" s="7"/>
      <c r="DF55" s="7"/>
      <c r="DG55" s="97">
        <f t="shared" si="108"/>
        <v>1</v>
      </c>
      <c r="DH55" s="7"/>
      <c r="DI55" s="7"/>
      <c r="DJ55" s="95" t="s">
        <v>217</v>
      </c>
      <c r="DK55" s="7"/>
      <c r="DL55" s="7"/>
      <c r="DM55" s="97">
        <f t="shared" si="256"/>
        <v>1</v>
      </c>
      <c r="DN55" s="95" t="s">
        <v>217</v>
      </c>
      <c r="DO55" s="95" t="s">
        <v>217</v>
      </c>
      <c r="DP55" s="97" t="str">
        <f t="shared" si="109"/>
        <v>both</v>
      </c>
      <c r="DQ55" s="97" t="str">
        <f t="shared" si="110"/>
        <v/>
      </c>
      <c r="DR55" s="97" t="str">
        <f t="shared" si="111"/>
        <v/>
      </c>
      <c r="DS55" s="100"/>
      <c r="DT55" s="100"/>
      <c r="DU55" s="100"/>
      <c r="DV55" s="100"/>
      <c r="DW55" s="100"/>
      <c r="DX55" s="100"/>
      <c r="DY55" s="103">
        <f t="shared" si="29"/>
        <v>0</v>
      </c>
      <c r="DZ55" s="100"/>
      <c r="EA55" s="100"/>
      <c r="EB55" s="100"/>
      <c r="EC55" s="100"/>
      <c r="ED55" s="100"/>
      <c r="EE55" s="103">
        <f t="shared" si="30"/>
        <v>0</v>
      </c>
      <c r="EF55" s="103" t="str">
        <f t="shared" si="70"/>
        <v/>
      </c>
      <c r="EG55" s="97" t="str">
        <f t="shared" si="31"/>
        <v/>
      </c>
      <c r="EH55" s="7"/>
      <c r="EI55" s="7"/>
      <c r="EJ55" s="100"/>
      <c r="EK55" s="100"/>
      <c r="EL55" s="100"/>
      <c r="EM55" s="100"/>
      <c r="EN55" s="7"/>
      <c r="EO55" s="7"/>
      <c r="EP55" s="7"/>
      <c r="EQ55" s="95" t="s">
        <v>217</v>
      </c>
      <c r="ER55" s="7"/>
      <c r="ES55" s="7"/>
      <c r="ET55" s="100"/>
      <c r="EU55" s="100"/>
      <c r="EV55" s="100"/>
      <c r="EW55" s="100"/>
      <c r="EX55" s="100"/>
      <c r="EY55" s="7"/>
      <c r="EZ55" s="7"/>
      <c r="FA55" s="7"/>
      <c r="FB55" s="7"/>
      <c r="FC55" s="7"/>
      <c r="FD55" s="7"/>
      <c r="FE55" s="97" t="str">
        <f t="shared" si="32"/>
        <v/>
      </c>
      <c r="FF55" s="7"/>
      <c r="FG55" s="7"/>
      <c r="FH55" s="7"/>
      <c r="FI55" s="7"/>
      <c r="FJ55" s="7"/>
      <c r="FK55" s="7"/>
      <c r="FL55" s="7"/>
      <c r="FM55" s="7"/>
      <c r="FN55" s="7"/>
      <c r="FO55" s="7"/>
      <c r="FP55" s="95" t="s">
        <v>217</v>
      </c>
      <c r="FQ55" s="97" t="str">
        <f t="shared" si="257"/>
        <v/>
      </c>
      <c r="FR55" s="95" t="s">
        <v>217</v>
      </c>
      <c r="FS55" s="7"/>
      <c r="FT55" s="97" t="str">
        <f t="shared" si="258"/>
        <v/>
      </c>
      <c r="FU55" s="97" t="str">
        <f t="shared" si="259"/>
        <v/>
      </c>
      <c r="FV55" s="100"/>
      <c r="FW55" s="7"/>
      <c r="FX55" s="7"/>
      <c r="FY55" s="7"/>
      <c r="FZ55" s="7"/>
      <c r="GA55" s="95" t="s">
        <v>217</v>
      </c>
      <c r="GB55" s="7"/>
      <c r="GC55" s="7"/>
      <c r="GD55" s="7"/>
      <c r="GE55" s="7"/>
      <c r="GF55" s="7"/>
      <c r="GG55" s="7"/>
      <c r="GH55" s="7"/>
      <c r="GI55" s="7"/>
      <c r="GJ55" s="95" t="s">
        <v>217</v>
      </c>
      <c r="GK55" s="7"/>
      <c r="GL55" s="7"/>
      <c r="GM55" s="7"/>
      <c r="GN55" s="7"/>
      <c r="GO55" s="7"/>
      <c r="GP55" s="121"/>
      <c r="GQ55" s="7"/>
      <c r="GR55" s="95" t="s">
        <v>217</v>
      </c>
      <c r="GS55" s="7"/>
      <c r="GT55" s="7"/>
      <c r="GU55" s="61" t="str">
        <f t="shared" si="36"/>
        <v/>
      </c>
      <c r="GV55" s="61" t="str">
        <f t="shared" si="37"/>
        <v/>
      </c>
      <c r="GW55" s="61" t="str">
        <f t="shared" si="38"/>
        <v/>
      </c>
      <c r="GX55" s="61" t="str">
        <f t="shared" si="39"/>
        <v/>
      </c>
      <c r="GY55" s="61" t="str">
        <f t="shared" si="40"/>
        <v/>
      </c>
      <c r="GZ55" s="61" t="str">
        <f t="shared" si="41"/>
        <v/>
      </c>
      <c r="HA55" s="61" t="str">
        <f t="shared" si="42"/>
        <v/>
      </c>
      <c r="HB55" s="61" t="str">
        <f t="shared" si="43"/>
        <v/>
      </c>
      <c r="HC55" s="61" t="str">
        <f t="shared" si="44"/>
        <v/>
      </c>
      <c r="HD55" s="61" t="str">
        <f t="shared" si="45"/>
        <v/>
      </c>
      <c r="HE55" s="61" t="str">
        <f t="shared" si="46"/>
        <v/>
      </c>
      <c r="HF55" s="61" t="str">
        <f t="shared" si="47"/>
        <v/>
      </c>
      <c r="HG55" s="61" t="str">
        <f t="shared" si="48"/>
        <v/>
      </c>
      <c r="HH55" s="61" t="str">
        <f t="shared" si="49"/>
        <v/>
      </c>
      <c r="HI55" s="61" t="str">
        <f t="shared" si="50"/>
        <v/>
      </c>
      <c r="HJ55" s="61" t="str">
        <f t="shared" si="51"/>
        <v/>
      </c>
      <c r="HK55" s="61" t="str">
        <f t="shared" si="52"/>
        <v/>
      </c>
      <c r="HL55" s="61" t="str">
        <f t="shared" si="53"/>
        <v/>
      </c>
      <c r="HM55" s="61" t="str">
        <f t="shared" si="54"/>
        <v/>
      </c>
      <c r="HN55" s="61" t="str">
        <f t="shared" si="55"/>
        <v/>
      </c>
      <c r="HO55" s="61" t="str">
        <f t="shared" si="56"/>
        <v/>
      </c>
      <c r="HP55" s="61" t="str">
        <f t="shared" si="57"/>
        <v/>
      </c>
      <c r="HQ55" s="61" t="str">
        <f t="shared" si="58"/>
        <v/>
      </c>
      <c r="HR55" s="61" t="str">
        <f t="shared" si="59"/>
        <v/>
      </c>
      <c r="HS55" s="61" t="str">
        <f t="shared" si="60"/>
        <v/>
      </c>
      <c r="HT55" s="61" t="str">
        <f t="shared" si="61"/>
        <v/>
      </c>
      <c r="HU55" s="61" t="str">
        <f t="shared" si="62"/>
        <v/>
      </c>
      <c r="HV55" s="61" t="str">
        <f t="shared" si="63"/>
        <v/>
      </c>
      <c r="HW55" s="61" t="str">
        <f t="shared" si="64"/>
        <v/>
      </c>
      <c r="HX55" s="61" t="str">
        <f t="shared" si="65"/>
        <v/>
      </c>
      <c r="HY55" s="61" t="str">
        <f t="shared" si="66"/>
        <v/>
      </c>
      <c r="HZ55" s="61" t="str">
        <f t="shared" si="67"/>
        <v/>
      </c>
    </row>
    <row r="56" ht="3.0" customHeight="1">
      <c r="A56" s="49" t="s">
        <v>830</v>
      </c>
      <c r="B56" s="87" t="s">
        <v>831</v>
      </c>
      <c r="C56" s="113" t="s">
        <v>832</v>
      </c>
      <c r="D56" s="80" t="s">
        <v>210</v>
      </c>
      <c r="E56" s="107">
        <f t="shared" si="3"/>
        <v>2</v>
      </c>
      <c r="F56" s="80" t="s">
        <v>209</v>
      </c>
      <c r="G56" s="80" t="s">
        <v>211</v>
      </c>
      <c r="H56" s="80">
        <v>2001.0</v>
      </c>
      <c r="J56" s="80" t="s">
        <v>833</v>
      </c>
      <c r="K56" s="61" t="str">
        <f t="shared" si="236"/>
        <v/>
      </c>
      <c r="L56" s="61" t="str">
        <f t="shared" si="237"/>
        <v/>
      </c>
      <c r="M56" s="61">
        <f t="shared" si="238"/>
        <v>1</v>
      </c>
      <c r="N56" s="61" t="str">
        <f t="shared" si="239"/>
        <v/>
      </c>
      <c r="O56" s="61" t="str">
        <f t="shared" si="240"/>
        <v/>
      </c>
      <c r="P56" s="61" t="str">
        <f t="shared" si="241"/>
        <v/>
      </c>
      <c r="Q56" s="61" t="b">
        <f t="shared" si="105"/>
        <v>1</v>
      </c>
      <c r="R56" s="61" t="b">
        <f t="shared" si="242"/>
        <v>1</v>
      </c>
      <c r="S56" s="80">
        <v>1.0</v>
      </c>
      <c r="T56" s="80">
        <v>1.0</v>
      </c>
      <c r="U56" s="80">
        <v>1.0</v>
      </c>
      <c r="V56" s="61" t="b">
        <f t="shared" si="243"/>
        <v>1</v>
      </c>
      <c r="W56" s="80">
        <v>1.0</v>
      </c>
      <c r="X56" s="80">
        <v>1.0</v>
      </c>
      <c r="Y56" s="80">
        <v>1.0</v>
      </c>
      <c r="AA56" s="61" t="str">
        <f t="shared" si="244"/>
        <v/>
      </c>
      <c r="AB56" s="61" t="str">
        <f t="shared" si="245"/>
        <v>Kallepalli:tse01, </v>
      </c>
      <c r="AC56" s="114" t="s">
        <v>834</v>
      </c>
      <c r="AD56" s="80" t="s">
        <v>266</v>
      </c>
      <c r="AF56" s="61">
        <f>countif('Charts-SLR'!A:A,AD56)</f>
        <v>1</v>
      </c>
      <c r="AG56" s="80" t="s">
        <v>361</v>
      </c>
      <c r="AH56" s="61">
        <f t="shared" si="246"/>
        <v>0</v>
      </c>
      <c r="AI56" s="80" t="s">
        <v>231</v>
      </c>
      <c r="AJ56" s="80">
        <v>137.0</v>
      </c>
      <c r="AK56" s="108">
        <f t="shared" si="247"/>
        <v>12.45454545</v>
      </c>
      <c r="AL56" s="61">
        <f t="shared" si="248"/>
        <v>137</v>
      </c>
      <c r="AM56" s="61" t="str">
        <f t="shared" si="249"/>
        <v/>
      </c>
      <c r="AN56" s="61" t="str">
        <f t="shared" si="250"/>
        <v/>
      </c>
      <c r="AO56" s="61" t="str">
        <f t="shared" si="251"/>
        <v/>
      </c>
      <c r="AP56" s="61" t="str">
        <f t="shared" si="252"/>
        <v/>
      </c>
      <c r="AQ56" s="61" t="str">
        <f t="shared" si="253"/>
        <v/>
      </c>
      <c r="AR56" s="74"/>
      <c r="AS56" s="74"/>
      <c r="AT56" s="74"/>
      <c r="AU56" s="74"/>
      <c r="AV56" s="73" t="s">
        <v>217</v>
      </c>
      <c r="AW56" s="74"/>
      <c r="AX56" s="74"/>
      <c r="AY56" s="74"/>
      <c r="AZ56" s="74"/>
      <c r="BA56" s="74"/>
      <c r="BB56" s="109" t="str">
        <f t="shared" si="106"/>
        <v/>
      </c>
      <c r="BC56" s="73" t="s">
        <v>217</v>
      </c>
      <c r="BD56" s="74"/>
      <c r="BE56" s="73" t="s">
        <v>217</v>
      </c>
      <c r="BF56" s="74"/>
      <c r="BG56" s="74"/>
      <c r="BH56" s="74"/>
      <c r="BI56" s="110">
        <f t="shared" si="254"/>
        <v>2</v>
      </c>
      <c r="BJ56" s="73" t="s">
        <v>217</v>
      </c>
      <c r="BK56" s="74"/>
      <c r="BL56" s="74"/>
      <c r="BM56" s="73" t="s">
        <v>835</v>
      </c>
      <c r="BN56" s="73" t="s">
        <v>218</v>
      </c>
      <c r="BO56" s="74"/>
      <c r="BP56" s="73" t="s">
        <v>217</v>
      </c>
      <c r="BQ56" s="74"/>
      <c r="BR56" s="74"/>
      <c r="BS56" s="74"/>
      <c r="BT56" s="74"/>
      <c r="BU56" s="74"/>
      <c r="BV56" s="73" t="s">
        <v>217</v>
      </c>
      <c r="BW56" s="74"/>
      <c r="BX56" s="74"/>
      <c r="BY56" s="73" t="s">
        <v>217</v>
      </c>
      <c r="BZ56" s="74"/>
      <c r="CA56" s="74"/>
      <c r="CB56" s="74"/>
      <c r="CC56" s="74"/>
      <c r="CD56" s="74"/>
      <c r="CE56" s="73" t="s">
        <v>217</v>
      </c>
      <c r="CF56" s="73" t="s">
        <v>836</v>
      </c>
      <c r="CG56" s="73" t="s">
        <v>217</v>
      </c>
      <c r="CH56" s="74"/>
      <c r="CI56" s="110" t="str">
        <f t="shared" si="233"/>
        <v/>
      </c>
      <c r="CJ56" s="110">
        <f t="shared" si="255"/>
        <v>1</v>
      </c>
      <c r="CK56" s="74"/>
      <c r="CL56" s="74"/>
      <c r="CM56" s="73" t="s">
        <v>217</v>
      </c>
      <c r="CN56" s="74"/>
      <c r="CO56" s="74"/>
      <c r="CP56" s="73" t="s">
        <v>217</v>
      </c>
      <c r="CQ56" s="74"/>
      <c r="CR56" s="80" t="s">
        <v>217</v>
      </c>
      <c r="CT56" s="80" t="s">
        <v>217</v>
      </c>
      <c r="DE56" s="80" t="s">
        <v>217</v>
      </c>
      <c r="DF56" s="80" t="s">
        <v>837</v>
      </c>
      <c r="DG56" s="61">
        <f t="shared" si="108"/>
        <v>2</v>
      </c>
      <c r="DI56" s="80" t="s">
        <v>217</v>
      </c>
      <c r="DM56" s="61">
        <f t="shared" si="256"/>
        <v>1</v>
      </c>
      <c r="DN56" s="80" t="s">
        <v>217</v>
      </c>
      <c r="DO56" s="80" t="s">
        <v>217</v>
      </c>
      <c r="DP56" s="61" t="str">
        <f t="shared" si="109"/>
        <v>both</v>
      </c>
      <c r="DQ56" s="61" t="str">
        <f t="shared" si="110"/>
        <v/>
      </c>
      <c r="DR56" s="61" t="str">
        <f t="shared" si="111"/>
        <v/>
      </c>
      <c r="DS56" s="74"/>
      <c r="DT56" s="74"/>
      <c r="DU56" s="74"/>
      <c r="DV56" s="74"/>
      <c r="DW56" s="74"/>
      <c r="DX56" s="73" t="s">
        <v>838</v>
      </c>
      <c r="DY56" s="110">
        <f t="shared" si="29"/>
        <v>1</v>
      </c>
      <c r="DZ56" s="74"/>
      <c r="EA56" s="74"/>
      <c r="EB56" s="74"/>
      <c r="EC56" s="74"/>
      <c r="ED56" s="74"/>
      <c r="EE56" s="110">
        <f t="shared" si="30"/>
        <v>0</v>
      </c>
      <c r="EF56" s="110" t="str">
        <f t="shared" si="70"/>
        <v/>
      </c>
      <c r="EG56" s="61" t="str">
        <f t="shared" si="31"/>
        <v/>
      </c>
      <c r="EH56" s="80" t="s">
        <v>839</v>
      </c>
      <c r="EI56" s="80" t="s">
        <v>840</v>
      </c>
      <c r="EJ56" s="74"/>
      <c r="EK56" s="74"/>
      <c r="EL56" s="74"/>
      <c r="EM56" s="74"/>
      <c r="ES56" s="80" t="s">
        <v>841</v>
      </c>
      <c r="ET56" s="73">
        <v>0.0</v>
      </c>
      <c r="EU56" s="74"/>
      <c r="EV56" s="74"/>
      <c r="EW56" s="74"/>
      <c r="EX56" s="74"/>
      <c r="EZ56" s="80" t="s">
        <v>842</v>
      </c>
      <c r="FE56" s="97">
        <f t="shared" si="32"/>
        <v>0</v>
      </c>
      <c r="FF56" s="80">
        <v>0.5</v>
      </c>
      <c r="FG56" s="80">
        <v>0.5</v>
      </c>
      <c r="FH56" s="80">
        <v>0.0</v>
      </c>
      <c r="FI56" s="61">
        <f>sum(FF56:FH56)</f>
        <v>1</v>
      </c>
      <c r="FJ56" s="80">
        <v>0.0</v>
      </c>
      <c r="FK56" s="80">
        <v>0.0</v>
      </c>
      <c r="FL56" s="80" t="s">
        <v>189</v>
      </c>
      <c r="FM56" s="61" t="str">
        <f>if(GP56&lt;1000, "0", if(GP56&lt;10000, "0.5","1"))</f>
        <v>0</v>
      </c>
      <c r="FN56" s="61">
        <f>sum(FJ56:FM56)</f>
        <v>0</v>
      </c>
      <c r="FO56" s="80" t="s">
        <v>217</v>
      </c>
      <c r="FQ56" s="61" t="str">
        <f t="shared" si="257"/>
        <v/>
      </c>
      <c r="FR56" s="80" t="s">
        <v>217</v>
      </c>
      <c r="FT56" s="61" t="str">
        <f t="shared" si="258"/>
        <v/>
      </c>
      <c r="FU56" s="61" t="str">
        <f t="shared" si="259"/>
        <v/>
      </c>
      <c r="FV56" s="73" t="s">
        <v>217</v>
      </c>
      <c r="FW56" s="80" t="s">
        <v>217</v>
      </c>
      <c r="GI56" s="80" t="s">
        <v>217</v>
      </c>
      <c r="GN56" s="80">
        <v>1.0</v>
      </c>
      <c r="GO56" s="126" t="s">
        <v>843</v>
      </c>
      <c r="GP56" s="116"/>
      <c r="GT56" s="80" t="s">
        <v>217</v>
      </c>
      <c r="GU56" s="61" t="str">
        <f t="shared" si="36"/>
        <v/>
      </c>
      <c r="GV56" s="61" t="str">
        <f t="shared" si="37"/>
        <v/>
      </c>
      <c r="GW56" s="61" t="str">
        <f t="shared" si="38"/>
        <v/>
      </c>
      <c r="GX56" s="61" t="str">
        <f t="shared" si="39"/>
        <v/>
      </c>
      <c r="GY56" s="61" t="str">
        <f t="shared" si="40"/>
        <v/>
      </c>
      <c r="GZ56" s="61" t="str">
        <f t="shared" si="41"/>
        <v/>
      </c>
      <c r="HA56" s="61" t="str">
        <f t="shared" si="42"/>
        <v/>
      </c>
      <c r="HB56" s="61" t="str">
        <f t="shared" si="43"/>
        <v/>
      </c>
      <c r="HC56" s="61" t="str">
        <f t="shared" si="44"/>
        <v/>
      </c>
      <c r="HD56" s="61" t="str">
        <f t="shared" si="45"/>
        <v>x</v>
      </c>
      <c r="HE56" s="61" t="str">
        <f t="shared" si="46"/>
        <v/>
      </c>
      <c r="HF56" s="61" t="str">
        <f t="shared" si="47"/>
        <v/>
      </c>
      <c r="HG56" s="61" t="str">
        <f t="shared" si="48"/>
        <v/>
      </c>
      <c r="HH56" s="61" t="str">
        <f t="shared" si="49"/>
        <v/>
      </c>
      <c r="HI56" s="61" t="str">
        <f t="shared" si="50"/>
        <v/>
      </c>
      <c r="HJ56" s="61" t="str">
        <f t="shared" si="51"/>
        <v/>
      </c>
      <c r="HK56" s="61" t="str">
        <f t="shared" si="52"/>
        <v/>
      </c>
      <c r="HL56" s="61" t="str">
        <f t="shared" si="53"/>
        <v/>
      </c>
      <c r="HM56" s="61" t="str">
        <f t="shared" si="54"/>
        <v/>
      </c>
      <c r="HN56" s="61" t="str">
        <f t="shared" si="55"/>
        <v/>
      </c>
      <c r="HO56" s="61" t="str">
        <f t="shared" si="56"/>
        <v/>
      </c>
      <c r="HP56" s="61" t="str">
        <f t="shared" si="57"/>
        <v/>
      </c>
      <c r="HQ56" s="61" t="str">
        <f t="shared" si="58"/>
        <v/>
      </c>
      <c r="HR56" s="61" t="str">
        <f t="shared" si="59"/>
        <v/>
      </c>
      <c r="HS56" s="61" t="str">
        <f t="shared" si="60"/>
        <v/>
      </c>
      <c r="HT56" s="61" t="str">
        <f t="shared" si="61"/>
        <v/>
      </c>
      <c r="HU56" s="61" t="str">
        <f t="shared" si="62"/>
        <v/>
      </c>
      <c r="HV56" s="61" t="str">
        <f t="shared" si="63"/>
        <v/>
      </c>
      <c r="HW56" s="61" t="str">
        <f t="shared" si="64"/>
        <v/>
      </c>
      <c r="HX56" s="61" t="str">
        <f t="shared" si="65"/>
        <v/>
      </c>
      <c r="HY56" s="61" t="str">
        <f t="shared" si="66"/>
        <v/>
      </c>
      <c r="HZ56" s="61" t="str">
        <f t="shared" si="67"/>
        <v/>
      </c>
    </row>
    <row r="57" ht="1.5" customHeight="1">
      <c r="A57" s="49" t="s">
        <v>844</v>
      </c>
      <c r="B57" s="87" t="s">
        <v>845</v>
      </c>
      <c r="C57" s="117" t="s">
        <v>846</v>
      </c>
      <c r="D57" s="95" t="s">
        <v>209</v>
      </c>
      <c r="E57" s="96" t="str">
        <f t="shared" si="3"/>
        <v/>
      </c>
      <c r="F57" s="95" t="s">
        <v>210</v>
      </c>
      <c r="G57" s="95" t="s">
        <v>211</v>
      </c>
      <c r="H57" s="95">
        <v>2008.0</v>
      </c>
      <c r="I57" s="7"/>
      <c r="J57" s="95" t="s">
        <v>847</v>
      </c>
      <c r="K57" s="97">
        <f t="shared" si="236"/>
        <v>1</v>
      </c>
      <c r="L57" s="97" t="str">
        <f t="shared" si="237"/>
        <v/>
      </c>
      <c r="M57" s="97" t="str">
        <f t="shared" si="238"/>
        <v/>
      </c>
      <c r="N57" s="97" t="str">
        <f t="shared" si="239"/>
        <v/>
      </c>
      <c r="O57" s="97" t="str">
        <f t="shared" si="240"/>
        <v/>
      </c>
      <c r="P57" s="97" t="str">
        <f t="shared" si="241"/>
        <v/>
      </c>
      <c r="Q57" s="97" t="b">
        <f t="shared" si="105"/>
        <v>1</v>
      </c>
      <c r="R57" s="97" t="b">
        <f t="shared" si="242"/>
        <v>1</v>
      </c>
      <c r="S57" s="95">
        <v>1.0</v>
      </c>
      <c r="T57" s="95">
        <v>1.0</v>
      </c>
      <c r="U57" s="95">
        <v>1.0</v>
      </c>
      <c r="V57" s="97" t="b">
        <f t="shared" si="243"/>
        <v>1</v>
      </c>
      <c r="W57" s="95">
        <v>1.0</v>
      </c>
      <c r="X57" s="95">
        <v>1.0</v>
      </c>
      <c r="Y57" s="95">
        <v>1.0</v>
      </c>
      <c r="Z57" s="7"/>
      <c r="AA57" s="97" t="str">
        <f t="shared" si="244"/>
        <v/>
      </c>
      <c r="AB57" s="97" t="str">
        <f t="shared" si="245"/>
        <v>Koopman:padl08, </v>
      </c>
      <c r="AC57" s="98" t="s">
        <v>848</v>
      </c>
      <c r="AD57" s="95" t="s">
        <v>766</v>
      </c>
      <c r="AE57" s="7"/>
      <c r="AF57" s="97">
        <f>countif('Charts-SLR'!A:A,AD57)</f>
        <v>1</v>
      </c>
      <c r="AG57" s="95" t="s">
        <v>849</v>
      </c>
      <c r="AH57" s="97">
        <f t="shared" si="246"/>
        <v>0</v>
      </c>
      <c r="AI57" s="95" t="s">
        <v>268</v>
      </c>
      <c r="AJ57" s="95">
        <v>1.0</v>
      </c>
      <c r="AK57" s="99">
        <f t="shared" si="247"/>
        <v>0.25</v>
      </c>
      <c r="AL57" s="97" t="str">
        <f t="shared" si="248"/>
        <v/>
      </c>
      <c r="AM57" s="97" t="str">
        <f t="shared" si="249"/>
        <v/>
      </c>
      <c r="AN57" s="97" t="str">
        <f t="shared" si="250"/>
        <v/>
      </c>
      <c r="AO57" s="97" t="str">
        <f t="shared" si="251"/>
        <v/>
      </c>
      <c r="AP57" s="97">
        <f t="shared" si="252"/>
        <v>1</v>
      </c>
      <c r="AQ57" s="97" t="str">
        <f t="shared" si="253"/>
        <v/>
      </c>
      <c r="AR57" s="100"/>
      <c r="AS57" s="100"/>
      <c r="AT57" s="100"/>
      <c r="AU57" s="100"/>
      <c r="AV57" s="100"/>
      <c r="AW57" s="100"/>
      <c r="AX57" s="100"/>
      <c r="AY57" s="100"/>
      <c r="AZ57" s="100"/>
      <c r="BA57" s="100"/>
      <c r="BB57" s="101" t="str">
        <f t="shared" si="106"/>
        <v>ERR</v>
      </c>
      <c r="BC57" s="102" t="s">
        <v>217</v>
      </c>
      <c r="BD57" s="100"/>
      <c r="BE57" s="102" t="s">
        <v>217</v>
      </c>
      <c r="BF57" s="100"/>
      <c r="BG57" s="100"/>
      <c r="BH57" s="100"/>
      <c r="BI57" s="103">
        <f t="shared" si="254"/>
        <v>2</v>
      </c>
      <c r="BJ57" s="102" t="s">
        <v>217</v>
      </c>
      <c r="BK57" s="100"/>
      <c r="BL57" s="100"/>
      <c r="BM57" s="100"/>
      <c r="BN57" s="102" t="s">
        <v>218</v>
      </c>
      <c r="BO57" s="102" t="s">
        <v>217</v>
      </c>
      <c r="BP57" s="100"/>
      <c r="BQ57" s="100"/>
      <c r="BR57" s="100"/>
      <c r="BS57" s="100"/>
      <c r="BT57" s="100"/>
      <c r="BU57" s="74"/>
      <c r="BV57" s="102" t="s">
        <v>217</v>
      </c>
      <c r="BW57" s="100"/>
      <c r="BX57" s="100"/>
      <c r="BY57" s="102" t="s">
        <v>217</v>
      </c>
      <c r="BZ57" s="100"/>
      <c r="CA57" s="100"/>
      <c r="CB57" s="100"/>
      <c r="CC57" s="102" t="s">
        <v>217</v>
      </c>
      <c r="CD57" s="100"/>
      <c r="CE57" s="100"/>
      <c r="CF57" s="100"/>
      <c r="CG57" s="102" t="s">
        <v>217</v>
      </c>
      <c r="CH57" s="100"/>
      <c r="CI57" s="103" t="str">
        <f t="shared" si="233"/>
        <v/>
      </c>
      <c r="CJ57" s="103">
        <f t="shared" si="255"/>
        <v>1</v>
      </c>
      <c r="CK57" s="100"/>
      <c r="CL57" s="100"/>
      <c r="CM57" s="102" t="s">
        <v>217</v>
      </c>
      <c r="CN57" s="100"/>
      <c r="CO57" s="100"/>
      <c r="CP57" s="102" t="s">
        <v>217</v>
      </c>
      <c r="CQ57" s="100"/>
      <c r="CR57" s="7"/>
      <c r="CS57" s="7"/>
      <c r="CT57" s="95" t="s">
        <v>217</v>
      </c>
      <c r="CU57" s="7"/>
      <c r="CV57" s="95" t="s">
        <v>217</v>
      </c>
      <c r="CW57" s="7"/>
      <c r="CX57" s="7"/>
      <c r="CY57" s="7"/>
      <c r="CZ57" s="7"/>
      <c r="DA57" s="7"/>
      <c r="DB57" s="7"/>
      <c r="DC57" s="7"/>
      <c r="DD57" s="7"/>
      <c r="DE57" s="95" t="s">
        <v>217</v>
      </c>
      <c r="DF57" s="7"/>
      <c r="DG57" s="97">
        <f t="shared" si="108"/>
        <v>2</v>
      </c>
      <c r="DH57" s="95" t="s">
        <v>217</v>
      </c>
      <c r="DI57" s="7"/>
      <c r="DJ57" s="95" t="s">
        <v>217</v>
      </c>
      <c r="DK57" s="7"/>
      <c r="DL57" s="7"/>
      <c r="DM57" s="97">
        <f t="shared" si="256"/>
        <v>2</v>
      </c>
      <c r="DN57" s="7"/>
      <c r="DO57" s="95" t="s">
        <v>217</v>
      </c>
      <c r="DP57" s="97" t="str">
        <f t="shared" si="109"/>
        <v/>
      </c>
      <c r="DQ57" s="97" t="str">
        <f t="shared" si="110"/>
        <v/>
      </c>
      <c r="DR57" s="97" t="str">
        <f t="shared" si="111"/>
        <v>FA</v>
      </c>
      <c r="DS57" s="100"/>
      <c r="DT57" s="100"/>
      <c r="DU57" s="100"/>
      <c r="DV57" s="100"/>
      <c r="DW57" s="100"/>
      <c r="DX57" s="100"/>
      <c r="DY57" s="103">
        <f t="shared" si="29"/>
        <v>0</v>
      </c>
      <c r="DZ57" s="100"/>
      <c r="EA57" s="100"/>
      <c r="EB57" s="100"/>
      <c r="EC57" s="100"/>
      <c r="ED57" s="100"/>
      <c r="EE57" s="103">
        <f t="shared" si="30"/>
        <v>0</v>
      </c>
      <c r="EF57" s="103" t="str">
        <f t="shared" si="70"/>
        <v/>
      </c>
      <c r="EG57" s="97" t="str">
        <f t="shared" si="31"/>
        <v/>
      </c>
      <c r="EH57" s="7"/>
      <c r="EI57" s="7"/>
      <c r="EJ57" s="100"/>
      <c r="EK57" s="100"/>
      <c r="EL57" s="100"/>
      <c r="EM57" s="100"/>
      <c r="EN57" s="7"/>
      <c r="EO57" s="95" t="s">
        <v>217</v>
      </c>
      <c r="EP57" s="7"/>
      <c r="EQ57" s="7"/>
      <c r="ER57" s="7"/>
      <c r="ES57" s="7"/>
      <c r="ET57" s="100"/>
      <c r="EU57" s="100"/>
      <c r="EV57" s="100"/>
      <c r="EW57" s="100"/>
      <c r="EX57" s="100"/>
      <c r="EY57" s="7"/>
      <c r="EZ57" s="7"/>
      <c r="FA57" s="7"/>
      <c r="FB57" s="7"/>
      <c r="FC57" s="7"/>
      <c r="FD57" s="7"/>
      <c r="FE57" s="97" t="str">
        <f t="shared" si="32"/>
        <v/>
      </c>
      <c r="FF57" s="7"/>
      <c r="FG57" s="7"/>
      <c r="FH57" s="7"/>
      <c r="FI57" s="7"/>
      <c r="FJ57" s="7"/>
      <c r="FK57" s="7"/>
      <c r="FL57" s="7"/>
      <c r="FM57" s="7"/>
      <c r="FN57" s="7"/>
      <c r="FO57" s="95" t="s">
        <v>217</v>
      </c>
      <c r="FP57" s="7"/>
      <c r="FQ57" s="97" t="str">
        <f t="shared" si="257"/>
        <v/>
      </c>
      <c r="FR57" s="95" t="s">
        <v>217</v>
      </c>
      <c r="FS57" s="7"/>
      <c r="FT57" s="97" t="str">
        <f t="shared" si="258"/>
        <v/>
      </c>
      <c r="FU57" s="97" t="str">
        <f t="shared" si="259"/>
        <v/>
      </c>
      <c r="FV57" s="100"/>
      <c r="FW57" s="95" t="s">
        <v>217</v>
      </c>
      <c r="FX57" s="7"/>
      <c r="FY57" s="7"/>
      <c r="FZ57" s="7"/>
      <c r="GA57" s="95" t="s">
        <v>217</v>
      </c>
      <c r="GB57" s="7"/>
      <c r="GC57" s="7"/>
      <c r="GD57" s="7"/>
      <c r="GE57" s="7"/>
      <c r="GF57" s="7"/>
      <c r="GG57" s="7"/>
      <c r="GH57" s="7"/>
      <c r="GI57" s="95" t="s">
        <v>217</v>
      </c>
      <c r="GJ57" s="7"/>
      <c r="GK57" s="7"/>
      <c r="GL57" s="7"/>
      <c r="GM57" s="7"/>
      <c r="GN57" s="95">
        <v>2.0</v>
      </c>
      <c r="GO57" s="95" t="s">
        <v>850</v>
      </c>
      <c r="GP57" s="121"/>
      <c r="GQ57" s="7"/>
      <c r="GR57" s="95" t="s">
        <v>217</v>
      </c>
      <c r="GS57" s="7"/>
      <c r="GT57" s="7"/>
      <c r="GU57" s="61" t="str">
        <f t="shared" si="36"/>
        <v>x</v>
      </c>
      <c r="GV57" s="61" t="str">
        <f t="shared" si="37"/>
        <v/>
      </c>
      <c r="GW57" s="61" t="str">
        <f t="shared" si="38"/>
        <v/>
      </c>
      <c r="GX57" s="61" t="str">
        <f t="shared" si="39"/>
        <v/>
      </c>
      <c r="GY57" s="61" t="str">
        <f t="shared" si="40"/>
        <v/>
      </c>
      <c r="GZ57" s="61" t="str">
        <f t="shared" si="41"/>
        <v/>
      </c>
      <c r="HA57" s="61" t="str">
        <f t="shared" si="42"/>
        <v/>
      </c>
      <c r="HB57" s="61" t="str">
        <f t="shared" si="43"/>
        <v/>
      </c>
      <c r="HC57" s="61" t="str">
        <f t="shared" si="44"/>
        <v/>
      </c>
      <c r="HD57" s="61" t="str">
        <f t="shared" si="45"/>
        <v>x</v>
      </c>
      <c r="HE57" s="61" t="str">
        <f t="shared" si="46"/>
        <v/>
      </c>
      <c r="HF57" s="61" t="str">
        <f t="shared" si="47"/>
        <v/>
      </c>
      <c r="HG57" s="61" t="str">
        <f t="shared" si="48"/>
        <v/>
      </c>
      <c r="HH57" s="61" t="str">
        <f t="shared" si="49"/>
        <v/>
      </c>
      <c r="HI57" s="61" t="str">
        <f t="shared" si="50"/>
        <v/>
      </c>
      <c r="HJ57" s="61" t="str">
        <f t="shared" si="51"/>
        <v/>
      </c>
      <c r="HK57" s="61" t="str">
        <f t="shared" si="52"/>
        <v/>
      </c>
      <c r="HL57" s="61" t="str">
        <f t="shared" si="53"/>
        <v/>
      </c>
      <c r="HM57" s="61" t="str">
        <f t="shared" si="54"/>
        <v/>
      </c>
      <c r="HN57" s="61" t="str">
        <f t="shared" si="55"/>
        <v/>
      </c>
      <c r="HO57" s="61" t="str">
        <f t="shared" si="56"/>
        <v/>
      </c>
      <c r="HP57" s="61" t="str">
        <f t="shared" si="57"/>
        <v/>
      </c>
      <c r="HQ57" s="61" t="str">
        <f t="shared" si="58"/>
        <v/>
      </c>
      <c r="HR57" s="61" t="str">
        <f t="shared" si="59"/>
        <v/>
      </c>
      <c r="HS57" s="61" t="str">
        <f t="shared" si="60"/>
        <v/>
      </c>
      <c r="HT57" s="61" t="str">
        <f t="shared" si="61"/>
        <v/>
      </c>
      <c r="HU57" s="61" t="str">
        <f t="shared" si="62"/>
        <v/>
      </c>
      <c r="HV57" s="61" t="str">
        <f t="shared" si="63"/>
        <v/>
      </c>
      <c r="HW57" s="61" t="str">
        <f t="shared" si="64"/>
        <v/>
      </c>
      <c r="HX57" s="61" t="str">
        <f t="shared" si="65"/>
        <v/>
      </c>
      <c r="HY57" s="61" t="str">
        <f t="shared" si="66"/>
        <v/>
      </c>
      <c r="HZ57" s="61" t="str">
        <f t="shared" si="67"/>
        <v/>
      </c>
    </row>
    <row r="58" ht="9.0" customHeight="1">
      <c r="A58" s="49" t="s">
        <v>851</v>
      </c>
      <c r="B58" s="87" t="s">
        <v>852</v>
      </c>
      <c r="C58" s="117" t="s">
        <v>853</v>
      </c>
      <c r="D58" s="95" t="s">
        <v>210</v>
      </c>
      <c r="E58" s="96" t="str">
        <f t="shared" si="3"/>
        <v/>
      </c>
      <c r="F58" s="95" t="s">
        <v>209</v>
      </c>
      <c r="G58" s="95" t="s">
        <v>211</v>
      </c>
      <c r="H58" s="95">
        <v>2009.0</v>
      </c>
      <c r="I58" s="7"/>
      <c r="J58" s="95" t="s">
        <v>854</v>
      </c>
      <c r="K58" s="97" t="str">
        <f t="shared" si="236"/>
        <v/>
      </c>
      <c r="L58" s="97" t="str">
        <f t="shared" si="237"/>
        <v/>
      </c>
      <c r="M58" s="97">
        <f t="shared" si="238"/>
        <v>1</v>
      </c>
      <c r="N58" s="97" t="str">
        <f t="shared" si="239"/>
        <v/>
      </c>
      <c r="O58" s="97" t="str">
        <f t="shared" si="240"/>
        <v/>
      </c>
      <c r="P58" s="97" t="str">
        <f t="shared" si="241"/>
        <v/>
      </c>
      <c r="Q58" s="97" t="b">
        <f t="shared" si="105"/>
        <v>1</v>
      </c>
      <c r="R58" s="97" t="b">
        <f t="shared" si="242"/>
        <v>1</v>
      </c>
      <c r="S58" s="95">
        <v>1.0</v>
      </c>
      <c r="T58" s="95">
        <v>1.0</v>
      </c>
      <c r="U58" s="95">
        <v>1.0</v>
      </c>
      <c r="V58" s="97" t="b">
        <f t="shared" si="243"/>
        <v>1</v>
      </c>
      <c r="W58" s="95">
        <v>1.0</v>
      </c>
      <c r="X58" s="95">
        <v>1.0</v>
      </c>
      <c r="Y58" s="95">
        <v>1.0</v>
      </c>
      <c r="Z58" s="7"/>
      <c r="AA58" s="97" t="str">
        <f t="shared" si="244"/>
        <v/>
      </c>
      <c r="AB58" s="97" t="str">
        <f t="shared" si="245"/>
        <v/>
      </c>
      <c r="AC58" s="98" t="s">
        <v>855</v>
      </c>
      <c r="AD58" s="95" t="s">
        <v>856</v>
      </c>
      <c r="AE58" s="95" t="s">
        <v>217</v>
      </c>
      <c r="AF58" s="95">
        <v>1.0</v>
      </c>
      <c r="AG58" s="95" t="s">
        <v>857</v>
      </c>
      <c r="AH58" s="97">
        <f t="shared" si="246"/>
        <v>0</v>
      </c>
      <c r="AI58" s="95" t="s">
        <v>250</v>
      </c>
      <c r="AJ58" s="95">
        <v>8.0</v>
      </c>
      <c r="AK58" s="99">
        <f t="shared" si="247"/>
        <v>2.666666667</v>
      </c>
      <c r="AL58" s="97" t="str">
        <f t="shared" si="248"/>
        <v/>
      </c>
      <c r="AM58" s="97">
        <f t="shared" si="249"/>
        <v>8</v>
      </c>
      <c r="AN58" s="97" t="str">
        <f t="shared" si="250"/>
        <v/>
      </c>
      <c r="AO58" s="97" t="str">
        <f t="shared" si="251"/>
        <v/>
      </c>
      <c r="AP58" s="97" t="str">
        <f t="shared" si="252"/>
        <v/>
      </c>
      <c r="AQ58" s="97" t="str">
        <f t="shared" si="253"/>
        <v/>
      </c>
      <c r="AR58" s="100"/>
      <c r="AS58" s="100"/>
      <c r="AT58" s="100"/>
      <c r="AU58" s="100"/>
      <c r="AV58" s="100"/>
      <c r="AW58" s="100"/>
      <c r="AX58" s="100"/>
      <c r="AY58" s="100"/>
      <c r="AZ58" s="100"/>
      <c r="BA58" s="100"/>
      <c r="BB58" s="101" t="str">
        <f t="shared" si="106"/>
        <v>ERR</v>
      </c>
      <c r="BC58" s="102" t="s">
        <v>217</v>
      </c>
      <c r="BD58" s="100"/>
      <c r="BE58" s="102" t="s">
        <v>217</v>
      </c>
      <c r="BF58" s="100"/>
      <c r="BG58" s="100"/>
      <c r="BH58" s="100"/>
      <c r="BI58" s="103">
        <f t="shared" si="254"/>
        <v>2</v>
      </c>
      <c r="BJ58" s="102" t="s">
        <v>217</v>
      </c>
      <c r="BK58" s="100"/>
      <c r="BL58" s="100"/>
      <c r="BM58" s="100"/>
      <c r="BN58" s="102" t="s">
        <v>303</v>
      </c>
      <c r="BO58" s="102" t="s">
        <v>217</v>
      </c>
      <c r="BP58" s="100"/>
      <c r="BQ58" s="100"/>
      <c r="BR58" s="100"/>
      <c r="BS58" s="100"/>
      <c r="BT58" s="100"/>
      <c r="BU58" s="74"/>
      <c r="BV58" s="102" t="s">
        <v>217</v>
      </c>
      <c r="BW58" s="100"/>
      <c r="BX58" s="100"/>
      <c r="BY58" s="100"/>
      <c r="BZ58" s="100"/>
      <c r="CA58" s="102" t="s">
        <v>217</v>
      </c>
      <c r="CB58" s="102" t="s">
        <v>217</v>
      </c>
      <c r="CC58" s="102" t="s">
        <v>217</v>
      </c>
      <c r="CD58" s="100"/>
      <c r="CE58" s="100"/>
      <c r="CF58" s="100"/>
      <c r="CG58" s="102" t="s">
        <v>217</v>
      </c>
      <c r="CH58" s="102" t="s">
        <v>217</v>
      </c>
      <c r="CI58" s="102" t="s">
        <v>217</v>
      </c>
      <c r="CJ58" s="103">
        <f t="shared" si="255"/>
        <v>1</v>
      </c>
      <c r="CK58" s="102" t="s">
        <v>217</v>
      </c>
      <c r="CL58" s="102" t="s">
        <v>217</v>
      </c>
      <c r="CM58" s="102" t="s">
        <v>217</v>
      </c>
      <c r="CN58" s="100"/>
      <c r="CO58" s="100"/>
      <c r="CP58" s="102" t="s">
        <v>217</v>
      </c>
      <c r="CQ58" s="100"/>
      <c r="CR58" s="7"/>
      <c r="CS58" s="7"/>
      <c r="CT58" s="7"/>
      <c r="CU58" s="7"/>
      <c r="CV58" s="7"/>
      <c r="CW58" s="7"/>
      <c r="CX58" s="7"/>
      <c r="CY58" s="7"/>
      <c r="CZ58" s="7"/>
      <c r="DA58" s="7"/>
      <c r="DB58" s="7"/>
      <c r="DC58" s="7"/>
      <c r="DD58" s="7"/>
      <c r="DE58" s="95" t="s">
        <v>217</v>
      </c>
      <c r="DF58" s="7"/>
      <c r="DG58" s="97">
        <f t="shared" si="108"/>
        <v>1</v>
      </c>
      <c r="DH58" s="7"/>
      <c r="DI58" s="7"/>
      <c r="DJ58" s="95" t="s">
        <v>217</v>
      </c>
      <c r="DK58" s="95" t="s">
        <v>217</v>
      </c>
      <c r="DL58" s="7"/>
      <c r="DM58" s="97">
        <f t="shared" si="256"/>
        <v>2</v>
      </c>
      <c r="DN58" s="95" t="s">
        <v>217</v>
      </c>
      <c r="DO58" s="95" t="s">
        <v>217</v>
      </c>
      <c r="DP58" s="97" t="str">
        <f t="shared" si="109"/>
        <v>both</v>
      </c>
      <c r="DQ58" s="97" t="str">
        <f t="shared" si="110"/>
        <v/>
      </c>
      <c r="DR58" s="97" t="str">
        <f t="shared" si="111"/>
        <v/>
      </c>
      <c r="DS58" s="100"/>
      <c r="DT58" s="100"/>
      <c r="DU58" s="100"/>
      <c r="DV58" s="102" t="s">
        <v>217</v>
      </c>
      <c r="DW58" s="100"/>
      <c r="DX58" s="100"/>
      <c r="DY58" s="103">
        <f t="shared" si="29"/>
        <v>1</v>
      </c>
      <c r="DZ58" s="100"/>
      <c r="EA58" s="100"/>
      <c r="EB58" s="100"/>
      <c r="EC58" s="100"/>
      <c r="ED58" s="100"/>
      <c r="EE58" s="103">
        <f t="shared" si="30"/>
        <v>0</v>
      </c>
      <c r="EF58" s="103" t="str">
        <f t="shared" si="70"/>
        <v/>
      </c>
      <c r="EG58" s="97" t="str">
        <f t="shared" si="31"/>
        <v/>
      </c>
      <c r="EH58" s="7"/>
      <c r="EI58" s="7"/>
      <c r="EJ58" s="100"/>
      <c r="EK58" s="100"/>
      <c r="EL58" s="100"/>
      <c r="EM58" s="100"/>
      <c r="EN58" s="7"/>
      <c r="EO58" s="7"/>
      <c r="EP58" s="7"/>
      <c r="EQ58" s="7"/>
      <c r="ER58" s="7"/>
      <c r="ES58" s="7"/>
      <c r="ET58" s="100"/>
      <c r="EU58" s="100"/>
      <c r="EV58" s="100"/>
      <c r="EW58" s="100"/>
      <c r="EX58" s="100"/>
      <c r="EY58" s="7"/>
      <c r="EZ58" s="7"/>
      <c r="FA58" s="7"/>
      <c r="FB58" s="7"/>
      <c r="FC58" s="7"/>
      <c r="FD58" s="7"/>
      <c r="FE58" s="97" t="str">
        <f t="shared" si="32"/>
        <v/>
      </c>
      <c r="FF58" s="7"/>
      <c r="FG58" s="7"/>
      <c r="FH58" s="7"/>
      <c r="FI58" s="7"/>
      <c r="FJ58" s="7"/>
      <c r="FK58" s="7"/>
      <c r="FL58" s="7"/>
      <c r="FM58" s="7"/>
      <c r="FN58" s="7"/>
      <c r="FO58" s="7"/>
      <c r="FP58" s="95" t="s">
        <v>217</v>
      </c>
      <c r="FQ58" s="97" t="str">
        <f t="shared" si="257"/>
        <v/>
      </c>
      <c r="FR58" s="95" t="s">
        <v>217</v>
      </c>
      <c r="FS58" s="7"/>
      <c r="FT58" s="97" t="str">
        <f t="shared" si="258"/>
        <v/>
      </c>
      <c r="FU58" s="97" t="str">
        <f t="shared" si="259"/>
        <v/>
      </c>
      <c r="FV58" s="100"/>
      <c r="FW58" s="7"/>
      <c r="FX58" s="7"/>
      <c r="FY58" s="95" t="s">
        <v>217</v>
      </c>
      <c r="FZ58" s="7"/>
      <c r="GA58" s="7"/>
      <c r="GB58" s="7"/>
      <c r="GC58" s="7"/>
      <c r="GD58" s="7"/>
      <c r="GE58" s="7"/>
      <c r="GF58" s="7"/>
      <c r="GG58" s="7"/>
      <c r="GH58" s="7"/>
      <c r="GI58" s="7"/>
      <c r="GJ58" s="95" t="s">
        <v>217</v>
      </c>
      <c r="GK58" s="7"/>
      <c r="GL58" s="7"/>
      <c r="GM58" s="7"/>
      <c r="GN58" s="95">
        <v>1.0</v>
      </c>
      <c r="GO58" s="95" t="s">
        <v>858</v>
      </c>
      <c r="GP58" s="121"/>
      <c r="GQ58" s="7"/>
      <c r="GR58" s="7"/>
      <c r="GS58" s="7"/>
      <c r="GT58" s="95" t="s">
        <v>217</v>
      </c>
      <c r="GU58" s="61" t="str">
        <f t="shared" si="36"/>
        <v/>
      </c>
      <c r="GV58" s="61" t="str">
        <f t="shared" si="37"/>
        <v/>
      </c>
      <c r="GW58" s="61" t="str">
        <f t="shared" si="38"/>
        <v/>
      </c>
      <c r="GX58" s="61" t="str">
        <f t="shared" si="39"/>
        <v/>
      </c>
      <c r="GY58" s="61" t="str">
        <f t="shared" si="40"/>
        <v/>
      </c>
      <c r="GZ58" s="61" t="str">
        <f t="shared" si="41"/>
        <v/>
      </c>
      <c r="HA58" s="61" t="str">
        <f t="shared" si="42"/>
        <v/>
      </c>
      <c r="HB58" s="61" t="str">
        <f t="shared" si="43"/>
        <v/>
      </c>
      <c r="HC58" s="61" t="str">
        <f t="shared" si="44"/>
        <v/>
      </c>
      <c r="HD58" s="61" t="str">
        <f t="shared" si="45"/>
        <v>x</v>
      </c>
      <c r="HE58" s="61" t="str">
        <f t="shared" si="46"/>
        <v/>
      </c>
      <c r="HF58" s="61" t="str">
        <f t="shared" si="47"/>
        <v/>
      </c>
      <c r="HG58" s="61" t="str">
        <f t="shared" si="48"/>
        <v/>
      </c>
      <c r="HH58" s="61" t="str">
        <f t="shared" si="49"/>
        <v/>
      </c>
      <c r="HI58" s="61" t="str">
        <f t="shared" si="50"/>
        <v/>
      </c>
      <c r="HJ58" s="61" t="str">
        <f t="shared" si="51"/>
        <v/>
      </c>
      <c r="HK58" s="61" t="str">
        <f t="shared" si="52"/>
        <v/>
      </c>
      <c r="HL58" s="61" t="str">
        <f t="shared" si="53"/>
        <v/>
      </c>
      <c r="HM58" s="61" t="str">
        <f t="shared" si="54"/>
        <v/>
      </c>
      <c r="HN58" s="61" t="str">
        <f t="shared" si="55"/>
        <v/>
      </c>
      <c r="HO58" s="61" t="str">
        <f t="shared" si="56"/>
        <v/>
      </c>
      <c r="HP58" s="61" t="str">
        <f t="shared" si="57"/>
        <v/>
      </c>
      <c r="HQ58" s="61" t="str">
        <f t="shared" si="58"/>
        <v/>
      </c>
      <c r="HR58" s="61" t="str">
        <f t="shared" si="59"/>
        <v/>
      </c>
      <c r="HS58" s="61" t="str">
        <f t="shared" si="60"/>
        <v/>
      </c>
      <c r="HT58" s="61" t="str">
        <f t="shared" si="61"/>
        <v/>
      </c>
      <c r="HU58" s="61" t="str">
        <f t="shared" si="62"/>
        <v/>
      </c>
      <c r="HV58" s="61" t="str">
        <f t="shared" si="63"/>
        <v/>
      </c>
      <c r="HW58" s="61" t="str">
        <f t="shared" si="64"/>
        <v/>
      </c>
      <c r="HX58" s="61" t="str">
        <f t="shared" si="65"/>
        <v/>
      </c>
      <c r="HY58" s="61" t="str">
        <f t="shared" si="66"/>
        <v/>
      </c>
      <c r="HZ58" s="61" t="str">
        <f t="shared" si="67"/>
        <v/>
      </c>
    </row>
    <row r="59" ht="3.0" customHeight="1">
      <c r="A59" s="49" t="s">
        <v>859</v>
      </c>
      <c r="B59" s="80" t="s">
        <v>860</v>
      </c>
      <c r="C59" s="113" t="s">
        <v>861</v>
      </c>
      <c r="D59" s="80" t="s">
        <v>245</v>
      </c>
      <c r="E59" s="107">
        <f t="shared" si="3"/>
        <v>3</v>
      </c>
      <c r="F59" s="80" t="s">
        <v>210</v>
      </c>
      <c r="G59" s="80" t="s">
        <v>211</v>
      </c>
      <c r="H59" s="80">
        <v>2010.0</v>
      </c>
      <c r="J59" s="80" t="s">
        <v>862</v>
      </c>
      <c r="K59" s="61" t="str">
        <f t="shared" si="236"/>
        <v/>
      </c>
      <c r="L59" s="61" t="str">
        <f t="shared" si="237"/>
        <v/>
      </c>
      <c r="M59" s="61" t="str">
        <f t="shared" si="238"/>
        <v/>
      </c>
      <c r="N59" s="61" t="str">
        <f t="shared" si="239"/>
        <v/>
      </c>
      <c r="O59" s="61">
        <f t="shared" si="240"/>
        <v>1</v>
      </c>
      <c r="P59" s="61" t="str">
        <f t="shared" si="241"/>
        <v/>
      </c>
      <c r="Q59" s="61" t="b">
        <f t="shared" si="105"/>
        <v>1</v>
      </c>
      <c r="R59" s="61" t="b">
        <f t="shared" si="242"/>
        <v>1</v>
      </c>
      <c r="S59" s="80">
        <v>1.0</v>
      </c>
      <c r="T59" s="80">
        <v>1.0</v>
      </c>
      <c r="U59" s="80">
        <v>1.0</v>
      </c>
      <c r="V59" s="61" t="b">
        <f t="shared" si="243"/>
        <v>1</v>
      </c>
      <c r="W59" s="80">
        <v>1.0</v>
      </c>
      <c r="X59" s="80">
        <v>1.0</v>
      </c>
      <c r="Y59" s="80">
        <v>1.0</v>
      </c>
      <c r="AA59" s="61" t="str">
        <f t="shared" si="244"/>
        <v/>
      </c>
      <c r="AB59" s="61" t="str">
        <f t="shared" si="245"/>
        <v>Dobolyi:issta10, </v>
      </c>
      <c r="AC59" s="114" t="s">
        <v>863</v>
      </c>
      <c r="AD59" s="80" t="s">
        <v>266</v>
      </c>
      <c r="AF59" s="61">
        <f>countif('Charts-SLR'!A:A,AD59)</f>
        <v>1</v>
      </c>
      <c r="AG59" s="80" t="s">
        <v>677</v>
      </c>
      <c r="AH59" s="61">
        <f t="shared" si="246"/>
        <v>0</v>
      </c>
      <c r="AI59" s="80" t="s">
        <v>268</v>
      </c>
      <c r="AJ59" s="80">
        <v>3.0</v>
      </c>
      <c r="AK59" s="108">
        <f t="shared" si="247"/>
        <v>1.5</v>
      </c>
      <c r="AL59" s="61" t="str">
        <f t="shared" si="248"/>
        <v/>
      </c>
      <c r="AM59" s="61" t="str">
        <f t="shared" si="249"/>
        <v/>
      </c>
      <c r="AN59" s="61" t="str">
        <f t="shared" si="250"/>
        <v/>
      </c>
      <c r="AO59" s="61" t="str">
        <f t="shared" si="251"/>
        <v/>
      </c>
      <c r="AP59" s="61">
        <f t="shared" si="252"/>
        <v>3</v>
      </c>
      <c r="AQ59" s="61" t="str">
        <f t="shared" si="253"/>
        <v>Dobolyi:issta10, </v>
      </c>
      <c r="AR59" s="74"/>
      <c r="AS59" s="74"/>
      <c r="AT59" s="74"/>
      <c r="AU59" s="74"/>
      <c r="AV59" s="74"/>
      <c r="AW59" s="74"/>
      <c r="AX59" s="74"/>
      <c r="AY59" s="74"/>
      <c r="AZ59" s="73" t="s">
        <v>217</v>
      </c>
      <c r="BA59" s="74"/>
      <c r="BB59" s="109" t="str">
        <f t="shared" si="106"/>
        <v/>
      </c>
      <c r="BC59" s="74"/>
      <c r="BD59" s="74"/>
      <c r="BE59" s="74"/>
      <c r="BF59" s="74"/>
      <c r="BG59" s="74"/>
      <c r="BH59" s="73" t="s">
        <v>217</v>
      </c>
      <c r="BI59" s="110">
        <f t="shared" si="254"/>
        <v>1</v>
      </c>
      <c r="BJ59" s="74"/>
      <c r="BK59" s="74"/>
      <c r="BL59" s="74"/>
      <c r="BM59" s="74"/>
      <c r="BN59" s="74"/>
      <c r="BO59" s="74"/>
      <c r="BP59" s="74"/>
      <c r="BQ59" s="73" t="s">
        <v>217</v>
      </c>
      <c r="BR59" s="74"/>
      <c r="BS59" s="74"/>
      <c r="BT59" s="74"/>
      <c r="BU59" s="74"/>
      <c r="BV59" s="73" t="s">
        <v>217</v>
      </c>
      <c r="BW59" s="74"/>
      <c r="BX59" s="74"/>
      <c r="BY59" s="74"/>
      <c r="BZ59" s="74"/>
      <c r="CA59" s="74"/>
      <c r="CB59" s="74"/>
      <c r="CC59" s="74"/>
      <c r="CD59" s="74"/>
      <c r="CE59" s="73" t="s">
        <v>217</v>
      </c>
      <c r="CF59" s="73" t="s">
        <v>864</v>
      </c>
      <c r="CG59" s="73" t="s">
        <v>217</v>
      </c>
      <c r="CH59" s="74"/>
      <c r="CI59" s="110" t="str">
        <f t="shared" ref="CI59:CI97" si="260">if(and(CG59="x",CH59="x"), "x", "")</f>
        <v/>
      </c>
      <c r="CJ59" s="110">
        <f t="shared" si="255"/>
        <v>1</v>
      </c>
      <c r="CK59" s="74"/>
      <c r="CL59" s="74"/>
      <c r="CM59" s="74"/>
      <c r="CN59" s="74"/>
      <c r="CO59" s="74"/>
      <c r="CP59" s="74"/>
      <c r="CQ59" s="74"/>
      <c r="DB59" s="80" t="s">
        <v>217</v>
      </c>
      <c r="DG59" s="61">
        <f t="shared" si="108"/>
        <v>1</v>
      </c>
      <c r="DL59" s="114" t="s">
        <v>217</v>
      </c>
      <c r="DM59" s="61">
        <f t="shared" si="256"/>
        <v>1</v>
      </c>
      <c r="DP59" s="61" t="str">
        <f t="shared" si="109"/>
        <v/>
      </c>
      <c r="DQ59" s="61" t="str">
        <f t="shared" si="110"/>
        <v/>
      </c>
      <c r="DR59" s="61" t="str">
        <f t="shared" si="111"/>
        <v/>
      </c>
      <c r="DS59" s="74"/>
      <c r="DT59" s="74"/>
      <c r="DU59" s="74"/>
      <c r="DV59" s="74"/>
      <c r="DW59" s="74"/>
      <c r="DX59" s="73" t="s">
        <v>790</v>
      </c>
      <c r="DY59" s="110">
        <f t="shared" si="29"/>
        <v>1</v>
      </c>
      <c r="DZ59" s="74"/>
      <c r="EA59" s="74"/>
      <c r="EB59" s="74"/>
      <c r="EC59" s="74"/>
      <c r="ED59" s="74"/>
      <c r="EE59" s="110">
        <f t="shared" si="30"/>
        <v>0</v>
      </c>
      <c r="EF59" s="110" t="str">
        <f t="shared" si="70"/>
        <v/>
      </c>
      <c r="EG59" s="61" t="str">
        <f t="shared" si="31"/>
        <v/>
      </c>
      <c r="EI59" s="80" t="s">
        <v>865</v>
      </c>
      <c r="EJ59" s="74"/>
      <c r="EK59" s="74"/>
      <c r="EL59" s="74"/>
      <c r="EM59" s="74"/>
      <c r="ES59" s="80" t="s">
        <v>866</v>
      </c>
      <c r="ET59" s="73">
        <v>0.0</v>
      </c>
      <c r="EU59" s="74"/>
      <c r="EV59" s="74"/>
      <c r="EW59" s="74"/>
      <c r="EX59" s="74"/>
      <c r="EZ59" s="80" t="s">
        <v>867</v>
      </c>
      <c r="FA59" s="80" t="s">
        <v>868</v>
      </c>
      <c r="FD59" s="80" t="s">
        <v>256</v>
      </c>
      <c r="FE59" s="97">
        <f t="shared" si="32"/>
        <v>2</v>
      </c>
      <c r="FF59" s="80">
        <v>1.0</v>
      </c>
      <c r="FG59" s="80">
        <v>1.0</v>
      </c>
      <c r="FH59" s="80">
        <v>0.5</v>
      </c>
      <c r="FI59" s="61">
        <f>sum(FF59:FH59)</f>
        <v>2.5</v>
      </c>
      <c r="FJ59" s="80">
        <v>0.0</v>
      </c>
      <c r="FK59" s="80">
        <v>0.0</v>
      </c>
      <c r="FL59" s="80">
        <v>1.0</v>
      </c>
      <c r="FM59" s="61" t="str">
        <f>if(GP59&lt;1000, "0", if(GP59&lt;10000, "0.5","1"))</f>
        <v>0</v>
      </c>
      <c r="FN59" s="61">
        <f>sum(FJ59:FM59)</f>
        <v>1</v>
      </c>
      <c r="FP59" s="80" t="s">
        <v>217</v>
      </c>
      <c r="FQ59" s="61" t="str">
        <f t="shared" si="257"/>
        <v/>
      </c>
      <c r="FS59" s="80" t="s">
        <v>217</v>
      </c>
      <c r="FT59" s="61" t="str">
        <f t="shared" si="258"/>
        <v/>
      </c>
      <c r="FU59" s="61" t="str">
        <f t="shared" si="259"/>
        <v/>
      </c>
      <c r="FV59" s="73" t="s">
        <v>217</v>
      </c>
      <c r="FW59" s="80" t="s">
        <v>217</v>
      </c>
      <c r="GI59" s="80" t="s">
        <v>217</v>
      </c>
      <c r="GN59" s="80">
        <v>17.0</v>
      </c>
      <c r="GO59" s="124" t="s">
        <v>482</v>
      </c>
      <c r="GP59" s="116"/>
      <c r="GQ59" s="80" t="s">
        <v>869</v>
      </c>
      <c r="GS59" s="80" t="s">
        <v>217</v>
      </c>
      <c r="GU59" s="61" t="str">
        <f t="shared" si="36"/>
        <v/>
      </c>
      <c r="GV59" s="61" t="str">
        <f t="shared" si="37"/>
        <v/>
      </c>
      <c r="GW59" s="61" t="str">
        <f t="shared" si="38"/>
        <v/>
      </c>
      <c r="GX59" s="61" t="str">
        <f t="shared" si="39"/>
        <v/>
      </c>
      <c r="GY59" s="61" t="str">
        <f t="shared" si="40"/>
        <v/>
      </c>
      <c r="GZ59" s="61" t="str">
        <f t="shared" si="41"/>
        <v/>
      </c>
      <c r="HA59" s="61" t="str">
        <f t="shared" si="42"/>
        <v>x</v>
      </c>
      <c r="HB59" s="61" t="str">
        <f t="shared" si="43"/>
        <v/>
      </c>
      <c r="HC59" s="61" t="str">
        <f t="shared" si="44"/>
        <v/>
      </c>
      <c r="HD59" s="61" t="str">
        <f t="shared" si="45"/>
        <v/>
      </c>
      <c r="HE59" s="61" t="str">
        <f t="shared" si="46"/>
        <v/>
      </c>
      <c r="HF59" s="61" t="str">
        <f t="shared" si="47"/>
        <v/>
      </c>
      <c r="HG59" s="61" t="str">
        <f t="shared" si="48"/>
        <v/>
      </c>
      <c r="HH59" s="61" t="str">
        <f t="shared" si="49"/>
        <v/>
      </c>
      <c r="HI59" s="61" t="str">
        <f t="shared" si="50"/>
        <v/>
      </c>
      <c r="HJ59" s="61" t="str">
        <f t="shared" si="51"/>
        <v/>
      </c>
      <c r="HK59" s="61" t="str">
        <f t="shared" si="52"/>
        <v/>
      </c>
      <c r="HL59" s="61" t="str">
        <f t="shared" si="53"/>
        <v>x</v>
      </c>
      <c r="HM59" s="61" t="str">
        <f t="shared" si="54"/>
        <v/>
      </c>
      <c r="HN59" s="61" t="str">
        <f t="shared" si="55"/>
        <v/>
      </c>
      <c r="HO59" s="61" t="str">
        <f t="shared" si="56"/>
        <v/>
      </c>
      <c r="HP59" s="61" t="str">
        <f t="shared" si="57"/>
        <v/>
      </c>
      <c r="HQ59" s="61" t="str">
        <f t="shared" si="58"/>
        <v/>
      </c>
      <c r="HR59" s="61" t="str">
        <f t="shared" si="59"/>
        <v/>
      </c>
      <c r="HS59" s="61" t="str">
        <f t="shared" si="60"/>
        <v/>
      </c>
      <c r="HT59" s="61" t="str">
        <f t="shared" si="61"/>
        <v/>
      </c>
      <c r="HU59" s="61" t="str">
        <f t="shared" si="62"/>
        <v/>
      </c>
      <c r="HV59" s="61" t="str">
        <f t="shared" si="63"/>
        <v/>
      </c>
      <c r="HW59" s="61" t="str">
        <f t="shared" si="64"/>
        <v/>
      </c>
      <c r="HX59" s="61" t="str">
        <f t="shared" si="65"/>
        <v/>
      </c>
      <c r="HY59" s="61" t="str">
        <f t="shared" si="66"/>
        <v/>
      </c>
      <c r="HZ59" s="61" t="str">
        <f t="shared" si="67"/>
        <v/>
      </c>
    </row>
    <row r="60" ht="9.0" customHeight="1">
      <c r="A60" s="49" t="s">
        <v>870</v>
      </c>
      <c r="B60" s="87" t="s">
        <v>871</v>
      </c>
      <c r="C60" s="117" t="s">
        <v>872</v>
      </c>
      <c r="D60" s="95" t="s">
        <v>209</v>
      </c>
      <c r="E60" s="96" t="str">
        <f t="shared" si="3"/>
        <v/>
      </c>
      <c r="F60" s="95" t="s">
        <v>210</v>
      </c>
      <c r="G60" s="95" t="s">
        <v>211</v>
      </c>
      <c r="H60" s="95">
        <v>2010.0</v>
      </c>
      <c r="I60" s="7"/>
      <c r="J60" s="95" t="s">
        <v>873</v>
      </c>
      <c r="K60" s="97">
        <f t="shared" si="236"/>
        <v>1</v>
      </c>
      <c r="L60" s="97" t="str">
        <f t="shared" si="237"/>
        <v/>
      </c>
      <c r="M60" s="97" t="str">
        <f t="shared" si="238"/>
        <v/>
      </c>
      <c r="N60" s="97" t="str">
        <f t="shared" si="239"/>
        <v/>
      </c>
      <c r="O60" s="97" t="str">
        <f t="shared" si="240"/>
        <v/>
      </c>
      <c r="P60" s="97" t="str">
        <f t="shared" si="241"/>
        <v/>
      </c>
      <c r="Q60" s="97" t="b">
        <f t="shared" si="105"/>
        <v>1</v>
      </c>
      <c r="R60" s="97" t="b">
        <f t="shared" si="242"/>
        <v>1</v>
      </c>
      <c r="S60" s="95">
        <v>1.0</v>
      </c>
      <c r="T60" s="95">
        <v>1.0</v>
      </c>
      <c r="U60" s="95">
        <v>1.0</v>
      </c>
      <c r="V60" s="97" t="b">
        <f t="shared" si="243"/>
        <v>1</v>
      </c>
      <c r="W60" s="95">
        <v>1.0</v>
      </c>
      <c r="X60" s="95">
        <v>1.0</v>
      </c>
      <c r="Y60" s="95">
        <v>1.0</v>
      </c>
      <c r="Z60" s="7"/>
      <c r="AA60" s="97" t="str">
        <f t="shared" si="244"/>
        <v/>
      </c>
      <c r="AB60" s="97" t="str">
        <f t="shared" si="245"/>
        <v/>
      </c>
      <c r="AC60" s="98" t="s">
        <v>874</v>
      </c>
      <c r="AD60" s="95" t="s">
        <v>266</v>
      </c>
      <c r="AE60" s="7"/>
      <c r="AF60" s="97">
        <f>countif('Charts-SLR'!A:A,AD60)</f>
        <v>1</v>
      </c>
      <c r="AG60" s="95" t="s">
        <v>875</v>
      </c>
      <c r="AH60" s="97">
        <f t="shared" si="246"/>
        <v>0</v>
      </c>
      <c r="AI60" s="95" t="s">
        <v>231</v>
      </c>
      <c r="AJ60" s="95">
        <v>5.0</v>
      </c>
      <c r="AK60" s="99">
        <f t="shared" si="247"/>
        <v>2.5</v>
      </c>
      <c r="AL60" s="97">
        <f t="shared" si="248"/>
        <v>5</v>
      </c>
      <c r="AM60" s="97" t="str">
        <f t="shared" si="249"/>
        <v/>
      </c>
      <c r="AN60" s="97" t="str">
        <f t="shared" si="250"/>
        <v/>
      </c>
      <c r="AO60" s="97" t="str">
        <f t="shared" si="251"/>
        <v/>
      </c>
      <c r="AP60" s="97" t="str">
        <f t="shared" si="252"/>
        <v/>
      </c>
      <c r="AQ60" s="97" t="str">
        <f t="shared" si="253"/>
        <v/>
      </c>
      <c r="AR60" s="100"/>
      <c r="AS60" s="100"/>
      <c r="AT60" s="100"/>
      <c r="AU60" s="100"/>
      <c r="AV60" s="100"/>
      <c r="AW60" s="100"/>
      <c r="AX60" s="100"/>
      <c r="AY60" s="100"/>
      <c r="AZ60" s="100"/>
      <c r="BA60" s="100"/>
      <c r="BB60" s="101" t="str">
        <f t="shared" si="106"/>
        <v>ERR</v>
      </c>
      <c r="BC60" s="102" t="s">
        <v>217</v>
      </c>
      <c r="BD60" s="100"/>
      <c r="BE60" s="102" t="s">
        <v>217</v>
      </c>
      <c r="BF60" s="102" t="s">
        <v>217</v>
      </c>
      <c r="BG60" s="100"/>
      <c r="BH60" s="100"/>
      <c r="BI60" s="103">
        <f t="shared" si="254"/>
        <v>3</v>
      </c>
      <c r="BJ60" s="102" t="s">
        <v>217</v>
      </c>
      <c r="BK60" s="100"/>
      <c r="BL60" s="100"/>
      <c r="BM60" s="100"/>
      <c r="BN60" s="102" t="s">
        <v>584</v>
      </c>
      <c r="BO60" s="102" t="s">
        <v>217</v>
      </c>
      <c r="BP60" s="100"/>
      <c r="BQ60" s="100"/>
      <c r="BR60" s="100"/>
      <c r="BS60" s="100"/>
      <c r="BT60" s="100"/>
      <c r="BU60" s="74"/>
      <c r="BV60" s="102" t="s">
        <v>217</v>
      </c>
      <c r="BW60" s="100"/>
      <c r="BX60" s="100"/>
      <c r="BY60" s="102" t="s">
        <v>217</v>
      </c>
      <c r="BZ60" s="100"/>
      <c r="CA60" s="102" t="s">
        <v>217</v>
      </c>
      <c r="CB60" s="100"/>
      <c r="CC60" s="100"/>
      <c r="CD60" s="100"/>
      <c r="CE60" s="100"/>
      <c r="CF60" s="100"/>
      <c r="CG60" s="100"/>
      <c r="CH60" s="102" t="s">
        <v>217</v>
      </c>
      <c r="CI60" s="103" t="str">
        <f t="shared" si="260"/>
        <v/>
      </c>
      <c r="CJ60" s="103">
        <f t="shared" si="255"/>
        <v>2</v>
      </c>
      <c r="CK60" s="100"/>
      <c r="CL60" s="102" t="s">
        <v>217</v>
      </c>
      <c r="CM60" s="102" t="s">
        <v>217</v>
      </c>
      <c r="CN60" s="102" t="s">
        <v>217</v>
      </c>
      <c r="CO60" s="100"/>
      <c r="CP60" s="100"/>
      <c r="CQ60" s="100"/>
      <c r="CR60" s="7"/>
      <c r="CS60" s="95" t="s">
        <v>217</v>
      </c>
      <c r="CT60" s="7"/>
      <c r="CU60" s="7"/>
      <c r="CV60" s="7"/>
      <c r="CW60" s="7"/>
      <c r="CX60" s="95" t="s">
        <v>217</v>
      </c>
      <c r="CY60" s="7"/>
      <c r="CZ60" s="7"/>
      <c r="DA60" s="7"/>
      <c r="DB60" s="7"/>
      <c r="DC60" s="7"/>
      <c r="DD60" s="7"/>
      <c r="DE60" s="7"/>
      <c r="DF60" s="7"/>
      <c r="DG60" s="97">
        <f t="shared" si="108"/>
        <v>1</v>
      </c>
      <c r="DH60" s="95" t="s">
        <v>217</v>
      </c>
      <c r="DI60" s="7"/>
      <c r="DJ60" s="7"/>
      <c r="DK60" s="7"/>
      <c r="DL60" s="7"/>
      <c r="DM60" s="97">
        <f t="shared" si="256"/>
        <v>1</v>
      </c>
      <c r="DN60" s="95" t="s">
        <v>217</v>
      </c>
      <c r="DO60" s="95" t="s">
        <v>217</v>
      </c>
      <c r="DP60" s="97" t="str">
        <f t="shared" si="109"/>
        <v>both</v>
      </c>
      <c r="DQ60" s="97" t="str">
        <f t="shared" si="110"/>
        <v/>
      </c>
      <c r="DR60" s="97" t="str">
        <f t="shared" si="111"/>
        <v/>
      </c>
      <c r="DS60" s="7"/>
      <c r="DT60" s="102" t="s">
        <v>466</v>
      </c>
      <c r="DU60" s="100"/>
      <c r="DV60" s="102" t="s">
        <v>217</v>
      </c>
      <c r="DW60" s="100"/>
      <c r="DX60" s="100"/>
      <c r="DY60" s="103">
        <f t="shared" si="29"/>
        <v>2</v>
      </c>
      <c r="DZ60" s="100"/>
      <c r="EA60" s="100"/>
      <c r="EB60" s="100"/>
      <c r="EC60" s="100"/>
      <c r="ED60" s="100"/>
      <c r="EE60" s="103">
        <f t="shared" si="30"/>
        <v>0</v>
      </c>
      <c r="EF60" s="103" t="str">
        <f t="shared" si="70"/>
        <v/>
      </c>
      <c r="EG60" s="97" t="str">
        <f t="shared" si="31"/>
        <v/>
      </c>
      <c r="EH60" s="7"/>
      <c r="EI60" s="7"/>
      <c r="EJ60" s="100"/>
      <c r="EK60" s="100"/>
      <c r="EL60" s="100"/>
      <c r="EM60" s="100"/>
      <c r="EN60" s="7"/>
      <c r="EO60" s="95" t="s">
        <v>217</v>
      </c>
      <c r="EP60" s="7"/>
      <c r="EQ60" s="7"/>
      <c r="ER60" s="7"/>
      <c r="ES60" s="7"/>
      <c r="ET60" s="100"/>
      <c r="EU60" s="100"/>
      <c r="EV60" s="100"/>
      <c r="EW60" s="100"/>
      <c r="EX60" s="100"/>
      <c r="EY60" s="7"/>
      <c r="EZ60" s="7"/>
      <c r="FA60" s="7"/>
      <c r="FB60" s="7"/>
      <c r="FC60" s="7"/>
      <c r="FD60" s="7"/>
      <c r="FE60" s="97" t="str">
        <f t="shared" si="32"/>
        <v/>
      </c>
      <c r="FF60" s="7"/>
      <c r="FG60" s="7"/>
      <c r="FH60" s="7"/>
      <c r="FI60" s="7"/>
      <c r="FJ60" s="7"/>
      <c r="FK60" s="7"/>
      <c r="FL60" s="7"/>
      <c r="FM60" s="7"/>
      <c r="FN60" s="7"/>
      <c r="FO60" s="7"/>
      <c r="FP60" s="95" t="s">
        <v>217</v>
      </c>
      <c r="FQ60" s="97" t="str">
        <f t="shared" si="257"/>
        <v/>
      </c>
      <c r="FR60" s="95" t="s">
        <v>217</v>
      </c>
      <c r="FS60" s="7"/>
      <c r="FT60" s="97" t="str">
        <f t="shared" si="258"/>
        <v/>
      </c>
      <c r="FU60" s="97" t="str">
        <f t="shared" si="259"/>
        <v/>
      </c>
      <c r="FV60" s="100"/>
      <c r="FW60" s="95" t="s">
        <v>217</v>
      </c>
      <c r="FX60" s="7"/>
      <c r="FY60" s="7"/>
      <c r="FZ60" s="7"/>
      <c r="GA60" s="7"/>
      <c r="GB60" s="7"/>
      <c r="GC60" s="7"/>
      <c r="GD60" s="95" t="s">
        <v>217</v>
      </c>
      <c r="GE60" s="7"/>
      <c r="GF60" s="7"/>
      <c r="GG60" s="7"/>
      <c r="GH60" s="7"/>
      <c r="GI60" s="7"/>
      <c r="GJ60" s="7"/>
      <c r="GK60" s="7"/>
      <c r="GL60" s="7"/>
      <c r="GM60" s="7"/>
      <c r="GN60" s="7"/>
      <c r="GO60" s="7"/>
      <c r="GP60" s="121"/>
      <c r="GQ60" s="95" t="s">
        <v>876</v>
      </c>
      <c r="GR60" s="95" t="s">
        <v>217</v>
      </c>
      <c r="GS60" s="7"/>
      <c r="GT60" s="7"/>
      <c r="GU60" s="61" t="str">
        <f t="shared" si="36"/>
        <v/>
      </c>
      <c r="GV60" s="61" t="str">
        <f t="shared" si="37"/>
        <v/>
      </c>
      <c r="GW60" s="61" t="str">
        <f t="shared" si="38"/>
        <v/>
      </c>
      <c r="GX60" s="61" t="str">
        <f t="shared" si="39"/>
        <v/>
      </c>
      <c r="GY60" s="61" t="str">
        <f t="shared" si="40"/>
        <v/>
      </c>
      <c r="GZ60" s="61" t="str">
        <f t="shared" si="41"/>
        <v/>
      </c>
      <c r="HA60" s="61" t="str">
        <f t="shared" si="42"/>
        <v/>
      </c>
      <c r="HB60" s="61" t="str">
        <f t="shared" si="43"/>
        <v/>
      </c>
      <c r="HC60" s="61" t="str">
        <f t="shared" si="44"/>
        <v/>
      </c>
      <c r="HD60" s="61" t="str">
        <f t="shared" si="45"/>
        <v/>
      </c>
      <c r="HE60" s="61" t="str">
        <f t="shared" si="46"/>
        <v/>
      </c>
      <c r="HF60" s="61" t="str">
        <f t="shared" si="47"/>
        <v/>
      </c>
      <c r="HG60" s="61" t="str">
        <f t="shared" si="48"/>
        <v/>
      </c>
      <c r="HH60" s="61" t="str">
        <f t="shared" si="49"/>
        <v/>
      </c>
      <c r="HI60" s="61" t="str">
        <f t="shared" si="50"/>
        <v/>
      </c>
      <c r="HJ60" s="61" t="str">
        <f t="shared" si="51"/>
        <v/>
      </c>
      <c r="HK60" s="61" t="str">
        <f t="shared" si="52"/>
        <v/>
      </c>
      <c r="HL60" s="61" t="str">
        <f t="shared" si="53"/>
        <v/>
      </c>
      <c r="HM60" s="61" t="str">
        <f t="shared" si="54"/>
        <v/>
      </c>
      <c r="HN60" s="61" t="str">
        <f t="shared" si="55"/>
        <v/>
      </c>
      <c r="HO60" s="61" t="str">
        <f t="shared" si="56"/>
        <v/>
      </c>
      <c r="HP60" s="61" t="str">
        <f t="shared" si="57"/>
        <v/>
      </c>
      <c r="HQ60" s="61" t="str">
        <f t="shared" si="58"/>
        <v/>
      </c>
      <c r="HR60" s="61" t="str">
        <f t="shared" si="59"/>
        <v/>
      </c>
      <c r="HS60" s="61" t="str">
        <f t="shared" si="60"/>
        <v/>
      </c>
      <c r="HT60" s="61" t="str">
        <f t="shared" si="61"/>
        <v/>
      </c>
      <c r="HU60" s="61" t="str">
        <f t="shared" si="62"/>
        <v/>
      </c>
      <c r="HV60" s="61" t="str">
        <f t="shared" si="63"/>
        <v/>
      </c>
      <c r="HW60" s="61" t="str">
        <f t="shared" si="64"/>
        <v/>
      </c>
      <c r="HX60" s="61" t="str">
        <f t="shared" si="65"/>
        <v/>
      </c>
      <c r="HY60" s="61" t="str">
        <f t="shared" si="66"/>
        <v/>
      </c>
      <c r="HZ60" s="61" t="str">
        <f t="shared" si="67"/>
        <v/>
      </c>
    </row>
    <row r="61" ht="9.0" customHeight="1">
      <c r="A61" s="49" t="s">
        <v>877</v>
      </c>
      <c r="B61" s="80" t="s">
        <v>878</v>
      </c>
      <c r="C61" s="113" t="s">
        <v>879</v>
      </c>
      <c r="D61" s="80" t="s">
        <v>245</v>
      </c>
      <c r="E61" s="107">
        <f t="shared" si="3"/>
        <v>2</v>
      </c>
      <c r="F61" s="80" t="s">
        <v>209</v>
      </c>
      <c r="G61" s="80" t="s">
        <v>211</v>
      </c>
      <c r="H61" s="80">
        <v>2011.0</v>
      </c>
      <c r="J61" s="80" t="s">
        <v>880</v>
      </c>
      <c r="K61" s="61" t="str">
        <f t="shared" si="236"/>
        <v/>
      </c>
      <c r="L61" s="61" t="str">
        <f t="shared" si="237"/>
        <v/>
      </c>
      <c r="M61" s="61" t="str">
        <f t="shared" si="238"/>
        <v/>
      </c>
      <c r="N61" s="61" t="str">
        <f t="shared" si="239"/>
        <v/>
      </c>
      <c r="O61" s="61" t="str">
        <f t="shared" si="240"/>
        <v/>
      </c>
      <c r="P61" s="61">
        <f t="shared" si="241"/>
        <v>1</v>
      </c>
      <c r="S61" s="80">
        <v>1.0</v>
      </c>
      <c r="U61" s="80">
        <v>10.0</v>
      </c>
      <c r="W61" s="80">
        <v>1.0</v>
      </c>
      <c r="Y61" s="80">
        <v>10.0</v>
      </c>
      <c r="Z61" s="80" t="s">
        <v>881</v>
      </c>
      <c r="AA61" s="61" t="str">
        <f t="shared" si="244"/>
        <v/>
      </c>
      <c r="AB61" s="61" t="str">
        <f t="shared" si="245"/>
        <v>Jensen:esec11, </v>
      </c>
      <c r="AC61" s="114" t="s">
        <v>882</v>
      </c>
      <c r="AD61" s="80" t="s">
        <v>883</v>
      </c>
      <c r="AF61" s="61">
        <f>countif('Charts-SLR'!A:A,AD61)</f>
        <v>1</v>
      </c>
      <c r="AG61" s="80" t="s">
        <v>400</v>
      </c>
      <c r="AH61" s="61">
        <f t="shared" si="246"/>
        <v>0</v>
      </c>
      <c r="AI61" s="80" t="s">
        <v>250</v>
      </c>
      <c r="AJ61" s="80">
        <v>2.0</v>
      </c>
      <c r="AK61" s="108">
        <f t="shared" si="247"/>
        <v>2</v>
      </c>
      <c r="AL61" s="61" t="str">
        <f t="shared" si="248"/>
        <v/>
      </c>
      <c r="AM61" s="61">
        <f t="shared" si="249"/>
        <v>2</v>
      </c>
      <c r="AN61" s="61" t="str">
        <f t="shared" si="250"/>
        <v/>
      </c>
      <c r="AO61" s="61" t="str">
        <f t="shared" si="251"/>
        <v/>
      </c>
      <c r="AP61" s="61" t="str">
        <f t="shared" si="252"/>
        <v/>
      </c>
      <c r="AQ61" s="61" t="str">
        <f t="shared" si="253"/>
        <v/>
      </c>
      <c r="AR61" s="74"/>
      <c r="AS61" s="74"/>
      <c r="AT61" s="74"/>
      <c r="AU61" s="74"/>
      <c r="AV61" s="74"/>
      <c r="AW61" s="74"/>
      <c r="AX61" s="74"/>
      <c r="AY61" s="74"/>
      <c r="AZ61" s="73" t="s">
        <v>217</v>
      </c>
      <c r="BA61" s="74"/>
      <c r="BB61" s="109" t="str">
        <f t="shared" si="106"/>
        <v/>
      </c>
      <c r="BC61" s="74"/>
      <c r="BD61" s="73" t="s">
        <v>217</v>
      </c>
      <c r="BE61" s="73" t="s">
        <v>217</v>
      </c>
      <c r="BF61" s="74"/>
      <c r="BG61" s="74"/>
      <c r="BH61" s="74"/>
      <c r="BI61" s="110">
        <f t="shared" si="254"/>
        <v>2</v>
      </c>
      <c r="BJ61" s="74"/>
      <c r="BK61" s="74"/>
      <c r="BL61" s="73" t="s">
        <v>217</v>
      </c>
      <c r="BM61" s="74"/>
      <c r="BN61" s="74"/>
      <c r="BO61" s="74"/>
      <c r="BP61" s="73" t="s">
        <v>217</v>
      </c>
      <c r="BQ61" s="74"/>
      <c r="BR61" s="74"/>
      <c r="BS61" s="74"/>
      <c r="BT61" s="74"/>
      <c r="BU61" s="74"/>
      <c r="BV61" s="74"/>
      <c r="BW61" s="73" t="s">
        <v>217</v>
      </c>
      <c r="BX61" s="74"/>
      <c r="BY61" s="74"/>
      <c r="BZ61" s="74"/>
      <c r="CA61" s="74"/>
      <c r="CB61" s="74"/>
      <c r="CC61" s="74"/>
      <c r="CD61" s="74"/>
      <c r="CE61" s="73" t="s">
        <v>217</v>
      </c>
      <c r="CF61" s="73" t="s">
        <v>884</v>
      </c>
      <c r="CG61" s="73" t="s">
        <v>217</v>
      </c>
      <c r="CH61" s="74"/>
      <c r="CI61" s="110" t="str">
        <f t="shared" si="260"/>
        <v/>
      </c>
      <c r="CJ61" s="110">
        <f t="shared" si="255"/>
        <v>1</v>
      </c>
      <c r="CK61" s="73" t="s">
        <v>217</v>
      </c>
      <c r="CL61" s="74"/>
      <c r="CM61" s="74"/>
      <c r="CN61" s="73" t="s">
        <v>217</v>
      </c>
      <c r="CO61" s="74"/>
      <c r="CP61" s="73" t="s">
        <v>217</v>
      </c>
      <c r="CQ61" s="74"/>
      <c r="CX61" s="80" t="s">
        <v>217</v>
      </c>
      <c r="DE61" s="80" t="s">
        <v>217</v>
      </c>
      <c r="DG61" s="61">
        <f t="shared" si="108"/>
        <v>2</v>
      </c>
      <c r="DI61" s="80" t="s">
        <v>217</v>
      </c>
      <c r="DM61" s="61">
        <f t="shared" si="256"/>
        <v>1</v>
      </c>
      <c r="DO61" s="80" t="s">
        <v>217</v>
      </c>
      <c r="DP61" s="61" t="str">
        <f t="shared" si="109"/>
        <v/>
      </c>
      <c r="DQ61" s="61" t="str">
        <f t="shared" si="110"/>
        <v/>
      </c>
      <c r="DR61" s="61" t="str">
        <f t="shared" si="111"/>
        <v>FA</v>
      </c>
      <c r="DS61" s="74"/>
      <c r="DT61" s="74"/>
      <c r="DU61" s="74"/>
      <c r="DV61" s="73" t="s">
        <v>217</v>
      </c>
      <c r="DW61" s="74"/>
      <c r="DX61" s="74"/>
      <c r="DY61" s="110">
        <f t="shared" si="29"/>
        <v>1</v>
      </c>
      <c r="DZ61" s="74"/>
      <c r="EA61" s="73" t="s">
        <v>217</v>
      </c>
      <c r="EB61" s="74"/>
      <c r="EC61" s="74"/>
      <c r="ED61" s="74"/>
      <c r="EE61" s="110">
        <f t="shared" si="30"/>
        <v>1</v>
      </c>
      <c r="EF61" s="110" t="str">
        <f t="shared" si="70"/>
        <v>x</v>
      </c>
      <c r="EG61" s="61" t="str">
        <f t="shared" si="31"/>
        <v/>
      </c>
      <c r="EI61" s="80" t="s">
        <v>885</v>
      </c>
      <c r="EJ61" s="74"/>
      <c r="EK61" s="74"/>
      <c r="EL61" s="74"/>
      <c r="EM61" s="74"/>
      <c r="EN61" s="80" t="s">
        <v>217</v>
      </c>
      <c r="EO61" s="80" t="s">
        <v>217</v>
      </c>
      <c r="ES61" s="80" t="s">
        <v>886</v>
      </c>
      <c r="ET61" s="73">
        <v>5.0</v>
      </c>
      <c r="EU61" s="74"/>
      <c r="EV61" s="74"/>
      <c r="EW61" s="74"/>
      <c r="EX61" s="74"/>
      <c r="EZ61" s="80" t="s">
        <v>887</v>
      </c>
      <c r="FD61" s="80" t="s">
        <v>256</v>
      </c>
      <c r="FE61" s="97">
        <f t="shared" si="32"/>
        <v>1</v>
      </c>
      <c r="FF61" s="80">
        <v>1.0</v>
      </c>
      <c r="FG61" s="80">
        <v>1.0</v>
      </c>
      <c r="FH61" s="80">
        <v>0.5</v>
      </c>
      <c r="FI61" s="61">
        <f>sum(FF61:FH61)</f>
        <v>2.5</v>
      </c>
      <c r="FJ61" s="80">
        <v>0.0</v>
      </c>
      <c r="FK61" s="80">
        <v>0.0</v>
      </c>
      <c r="FL61" s="80" t="s">
        <v>189</v>
      </c>
      <c r="FM61" s="61" t="str">
        <f>if(GP61&lt;1000, "0", if(GP61&lt;10000, "0.5","1"))</f>
        <v>1</v>
      </c>
      <c r="FN61" s="61">
        <f>sum(FJ61:FM61)</f>
        <v>0</v>
      </c>
      <c r="FP61" s="80" t="s">
        <v>217</v>
      </c>
      <c r="FQ61" s="61" t="str">
        <f t="shared" si="257"/>
        <v/>
      </c>
      <c r="FR61" s="80" t="s">
        <v>217</v>
      </c>
      <c r="FT61" s="61" t="str">
        <f t="shared" si="258"/>
        <v/>
      </c>
      <c r="FU61" s="61" t="str">
        <f t="shared" si="259"/>
        <v/>
      </c>
      <c r="FV61" s="73" t="s">
        <v>217</v>
      </c>
      <c r="FX61" s="80" t="s">
        <v>217</v>
      </c>
      <c r="FY61" s="80" t="s">
        <v>217</v>
      </c>
      <c r="GI61" s="80" t="s">
        <v>217</v>
      </c>
      <c r="GL61" s="80" t="s">
        <v>888</v>
      </c>
      <c r="GN61" s="80">
        <v>53.0</v>
      </c>
      <c r="GO61" s="80" t="s">
        <v>889</v>
      </c>
      <c r="GP61" s="116">
        <f>53*(100+3000)/2</f>
        <v>82150</v>
      </c>
      <c r="GQ61" s="80" t="s">
        <v>890</v>
      </c>
      <c r="GR61" s="80" t="s">
        <v>217</v>
      </c>
      <c r="GS61" s="80" t="s">
        <v>217</v>
      </c>
      <c r="GU61" s="61" t="str">
        <f t="shared" si="36"/>
        <v/>
      </c>
      <c r="GV61" s="61" t="str">
        <f t="shared" si="37"/>
        <v/>
      </c>
      <c r="GW61" s="61" t="str">
        <f t="shared" si="38"/>
        <v>x</v>
      </c>
      <c r="GX61" s="61" t="str">
        <f t="shared" si="39"/>
        <v/>
      </c>
      <c r="GY61" s="61" t="str">
        <f t="shared" si="40"/>
        <v/>
      </c>
      <c r="GZ61" s="61" t="str">
        <f t="shared" si="41"/>
        <v/>
      </c>
      <c r="HA61" s="61" t="str">
        <f t="shared" si="42"/>
        <v/>
      </c>
      <c r="HB61" s="61" t="str">
        <f t="shared" si="43"/>
        <v/>
      </c>
      <c r="HC61" s="61" t="str">
        <f t="shared" si="44"/>
        <v/>
      </c>
      <c r="HD61" s="61" t="str">
        <f t="shared" si="45"/>
        <v>x</v>
      </c>
      <c r="HE61" s="61" t="str">
        <f t="shared" si="46"/>
        <v/>
      </c>
      <c r="HF61" s="61" t="str">
        <f t="shared" si="47"/>
        <v/>
      </c>
      <c r="HG61" s="61" t="str">
        <f t="shared" si="48"/>
        <v/>
      </c>
      <c r="HH61" s="61" t="str">
        <f t="shared" si="49"/>
        <v/>
      </c>
      <c r="HI61" s="61" t="str">
        <f t="shared" si="50"/>
        <v/>
      </c>
      <c r="HJ61" s="61" t="str">
        <f t="shared" si="51"/>
        <v/>
      </c>
      <c r="HK61" s="61" t="str">
        <f t="shared" si="52"/>
        <v/>
      </c>
      <c r="HL61" s="61" t="str">
        <f t="shared" si="53"/>
        <v/>
      </c>
      <c r="HM61" s="61" t="str">
        <f t="shared" si="54"/>
        <v/>
      </c>
      <c r="HN61" s="61" t="str">
        <f t="shared" si="55"/>
        <v/>
      </c>
      <c r="HO61" s="61" t="str">
        <f t="shared" si="56"/>
        <v/>
      </c>
      <c r="HP61" s="61" t="str">
        <f t="shared" si="57"/>
        <v/>
      </c>
      <c r="HQ61" s="61" t="str">
        <f t="shared" si="58"/>
        <v/>
      </c>
      <c r="HR61" s="61" t="str">
        <f t="shared" si="59"/>
        <v/>
      </c>
      <c r="HS61" s="61" t="str">
        <f t="shared" si="60"/>
        <v/>
      </c>
      <c r="HT61" s="61" t="str">
        <f t="shared" si="61"/>
        <v/>
      </c>
      <c r="HU61" s="61" t="str">
        <f t="shared" si="62"/>
        <v/>
      </c>
      <c r="HV61" s="61" t="str">
        <f t="shared" si="63"/>
        <v/>
      </c>
      <c r="HW61" s="61" t="str">
        <f t="shared" si="64"/>
        <v/>
      </c>
      <c r="HX61" s="61" t="str">
        <f t="shared" si="65"/>
        <v/>
      </c>
      <c r="HY61" s="61" t="str">
        <f t="shared" si="66"/>
        <v>x</v>
      </c>
      <c r="HZ61" s="61" t="str">
        <f t="shared" si="67"/>
        <v/>
      </c>
    </row>
    <row r="62" ht="15.0" customHeight="1">
      <c r="A62" s="49" t="s">
        <v>891</v>
      </c>
      <c r="B62" s="87" t="s">
        <v>892</v>
      </c>
      <c r="C62" s="117" t="s">
        <v>893</v>
      </c>
      <c r="D62" s="95" t="s">
        <v>301</v>
      </c>
      <c r="E62" s="96" t="str">
        <f t="shared" si="3"/>
        <v/>
      </c>
      <c r="F62" s="95" t="s">
        <v>209</v>
      </c>
      <c r="G62" s="95" t="s">
        <v>217</v>
      </c>
      <c r="H62" s="95">
        <v>2009.0</v>
      </c>
      <c r="I62" s="7"/>
      <c r="J62" s="95" t="s">
        <v>894</v>
      </c>
      <c r="K62" s="7"/>
      <c r="L62" s="7"/>
      <c r="M62" s="7"/>
      <c r="N62" s="7"/>
      <c r="O62" s="7"/>
      <c r="P62" s="7"/>
      <c r="Q62" s="97" t="b">
        <f t="shared" ref="Q62:Q97" si="261">and(R62,V62)</f>
        <v>1</v>
      </c>
      <c r="R62" s="97" t="b">
        <f>if(AVERAGE(S62:U62)&gt;=5, TRUE, FALSE)</f>
        <v>1</v>
      </c>
      <c r="S62" s="95">
        <v>8.0</v>
      </c>
      <c r="T62" s="95">
        <v>7.0</v>
      </c>
      <c r="U62" s="95">
        <v>8.0</v>
      </c>
      <c r="V62" s="97" t="b">
        <f>if(AVERAGE(W62:Y62)&gt;=5, TRUE, FALSE)</f>
        <v>1</v>
      </c>
      <c r="W62" s="95">
        <v>6.0</v>
      </c>
      <c r="X62" s="95">
        <v>4.0</v>
      </c>
      <c r="Y62" s="95">
        <v>5.0</v>
      </c>
      <c r="Z62" s="142" t="s">
        <v>895</v>
      </c>
      <c r="AA62" s="7"/>
      <c r="AB62" s="7"/>
      <c r="AC62" s="120"/>
      <c r="AD62" s="7"/>
      <c r="AE62" s="7"/>
      <c r="AF62" s="7"/>
      <c r="AG62" s="7"/>
      <c r="AH62" s="7"/>
      <c r="AI62" s="7"/>
      <c r="AJ62" s="7"/>
      <c r="AK62" s="7"/>
      <c r="AL62" s="7"/>
      <c r="AM62" s="7"/>
      <c r="AN62" s="7"/>
      <c r="AO62" s="7"/>
      <c r="AP62" s="7"/>
      <c r="AQ62" s="7"/>
      <c r="AR62" s="100"/>
      <c r="AS62" s="100"/>
      <c r="AT62" s="100"/>
      <c r="AU62" s="100"/>
      <c r="AV62" s="100"/>
      <c r="AW62" s="100"/>
      <c r="AX62" s="100"/>
      <c r="AY62" s="100"/>
      <c r="AZ62" s="100"/>
      <c r="BA62" s="100"/>
      <c r="BB62" s="101" t="str">
        <f t="shared" si="106"/>
        <v>ERR</v>
      </c>
      <c r="BC62" s="102" t="s">
        <v>217</v>
      </c>
      <c r="BD62" s="100"/>
      <c r="BE62" s="104" t="s">
        <v>217</v>
      </c>
      <c r="BF62" s="100"/>
      <c r="BG62" s="100"/>
      <c r="BH62" s="100"/>
      <c r="BI62" s="100"/>
      <c r="BJ62" s="102" t="s">
        <v>217</v>
      </c>
      <c r="BK62" s="100"/>
      <c r="BL62" s="100"/>
      <c r="BM62" s="100"/>
      <c r="BN62" s="102" t="s">
        <v>584</v>
      </c>
      <c r="BO62" s="102" t="s">
        <v>217</v>
      </c>
      <c r="BP62" s="100"/>
      <c r="BQ62" s="100"/>
      <c r="BR62" s="100"/>
      <c r="BS62" s="100"/>
      <c r="BT62" s="100"/>
      <c r="BU62" s="74"/>
      <c r="BV62" s="102" t="s">
        <v>217</v>
      </c>
      <c r="BW62" s="100"/>
      <c r="BX62" s="100"/>
      <c r="BY62" s="100"/>
      <c r="BZ62" s="100"/>
      <c r="CA62" s="100"/>
      <c r="CB62" s="100"/>
      <c r="CC62" s="100"/>
      <c r="CD62" s="100"/>
      <c r="CE62" s="102" t="s">
        <v>217</v>
      </c>
      <c r="CF62" s="102" t="s">
        <v>896</v>
      </c>
      <c r="CG62" s="102" t="s">
        <v>217</v>
      </c>
      <c r="CH62" s="100"/>
      <c r="CI62" s="103" t="str">
        <f t="shared" si="260"/>
        <v/>
      </c>
      <c r="CJ62" s="100"/>
      <c r="CK62" s="146"/>
      <c r="CL62" s="146"/>
      <c r="CM62" s="102" t="s">
        <v>217</v>
      </c>
      <c r="CN62" s="100"/>
      <c r="CO62" s="100"/>
      <c r="CP62" s="100"/>
      <c r="CQ62" s="100"/>
      <c r="CR62" s="7"/>
      <c r="CS62" s="7"/>
      <c r="CT62" s="95" t="s">
        <v>217</v>
      </c>
      <c r="CU62" s="7"/>
      <c r="CV62" s="7"/>
      <c r="CW62" s="7"/>
      <c r="CX62" s="7"/>
      <c r="CY62" s="7"/>
      <c r="CZ62" s="7"/>
      <c r="DA62" s="7"/>
      <c r="DB62" s="7"/>
      <c r="DC62" s="7"/>
      <c r="DD62" s="7"/>
      <c r="DE62" s="95" t="s">
        <v>217</v>
      </c>
      <c r="DF62" s="7"/>
      <c r="DG62" s="97">
        <f t="shared" si="108"/>
        <v>1</v>
      </c>
      <c r="DH62" s="95" t="s">
        <v>217</v>
      </c>
      <c r="DI62" s="7"/>
      <c r="DJ62" s="7"/>
      <c r="DK62" s="7"/>
      <c r="DL62" s="95" t="s">
        <v>217</v>
      </c>
      <c r="DM62" s="7"/>
      <c r="DN62" s="95" t="s">
        <v>217</v>
      </c>
      <c r="DO62" s="95" t="s">
        <v>217</v>
      </c>
      <c r="DP62" s="97" t="str">
        <f t="shared" si="109"/>
        <v>both</v>
      </c>
      <c r="DQ62" s="97" t="str">
        <f t="shared" si="110"/>
        <v/>
      </c>
      <c r="DR62" s="97" t="str">
        <f t="shared" si="111"/>
        <v/>
      </c>
      <c r="DS62" s="100"/>
      <c r="DT62" s="102" t="s">
        <v>220</v>
      </c>
      <c r="DU62" s="100"/>
      <c r="DV62" s="100"/>
      <c r="DW62" s="100"/>
      <c r="DX62" s="100"/>
      <c r="DY62" s="103">
        <f t="shared" si="29"/>
        <v>1</v>
      </c>
      <c r="DZ62" s="103" t="str">
        <f t="shared" ref="DZ62:DZ63" si="262">if(AND(DS62&lt;&gt;"",DW62="x"), "x", "")</f>
        <v/>
      </c>
      <c r="EA62" s="100"/>
      <c r="EB62" s="100"/>
      <c r="EC62" s="100"/>
      <c r="ED62" s="100"/>
      <c r="EE62" s="103">
        <f t="shared" si="30"/>
        <v>0</v>
      </c>
      <c r="EF62" s="103" t="str">
        <f t="shared" si="70"/>
        <v/>
      </c>
      <c r="EG62" s="97" t="str">
        <f t="shared" si="31"/>
        <v/>
      </c>
      <c r="EH62" s="7"/>
      <c r="EI62" s="7"/>
      <c r="EJ62" s="100"/>
      <c r="EK62" s="100"/>
      <c r="EL62" s="100"/>
      <c r="EM62" s="100"/>
      <c r="EN62" s="7"/>
      <c r="EO62" s="7"/>
      <c r="EP62" s="7"/>
      <c r="EQ62" s="7"/>
      <c r="ER62" s="7"/>
      <c r="ES62" s="7"/>
      <c r="ET62" s="100"/>
      <c r="EU62" s="100"/>
      <c r="EV62" s="100"/>
      <c r="EW62" s="100"/>
      <c r="EX62" s="100"/>
      <c r="EY62" s="7"/>
      <c r="EZ62" s="7"/>
      <c r="FA62" s="7"/>
      <c r="FB62" s="7"/>
      <c r="FC62" s="7"/>
      <c r="FD62" s="7"/>
      <c r="FE62" s="97" t="str">
        <f t="shared" si="32"/>
        <v/>
      </c>
      <c r="FF62" s="7"/>
      <c r="FG62" s="7"/>
      <c r="FH62" s="7"/>
      <c r="FI62" s="7"/>
      <c r="FJ62" s="7"/>
      <c r="FK62" s="7"/>
      <c r="FL62" s="7"/>
      <c r="FM62" s="7"/>
      <c r="FN62" s="7"/>
      <c r="FO62" s="7"/>
      <c r="FP62" s="95" t="s">
        <v>217</v>
      </c>
      <c r="FQ62" s="7"/>
      <c r="FR62" s="95" t="s">
        <v>217</v>
      </c>
      <c r="FS62" s="7"/>
      <c r="FT62" s="7"/>
      <c r="FU62" s="7"/>
      <c r="FV62" s="100"/>
      <c r="FW62" s="7"/>
      <c r="FX62" s="7"/>
      <c r="FY62" s="7"/>
      <c r="FZ62" s="95" t="s">
        <v>217</v>
      </c>
      <c r="GA62" s="7"/>
      <c r="GB62" s="7"/>
      <c r="GC62" s="7"/>
      <c r="GD62" s="7"/>
      <c r="GE62" s="7"/>
      <c r="GF62" s="7"/>
      <c r="GG62" s="7"/>
      <c r="GH62" s="7"/>
      <c r="GI62" s="95" t="s">
        <v>217</v>
      </c>
      <c r="GJ62" s="7"/>
      <c r="GK62" s="7"/>
      <c r="GL62" s="7"/>
      <c r="GM62" s="7"/>
      <c r="GN62" s="7"/>
      <c r="GO62" s="7"/>
      <c r="GP62" s="7"/>
      <c r="GQ62" s="7"/>
      <c r="GR62" s="7"/>
      <c r="GS62" s="7"/>
      <c r="GT62" s="7"/>
      <c r="GU62" s="61" t="str">
        <f t="shared" si="36"/>
        <v/>
      </c>
      <c r="GV62" s="61" t="str">
        <f t="shared" si="37"/>
        <v/>
      </c>
      <c r="GW62" s="61" t="str">
        <f t="shared" si="38"/>
        <v/>
      </c>
      <c r="GX62" s="61" t="str">
        <f t="shared" si="39"/>
        <v/>
      </c>
      <c r="GY62" s="61" t="str">
        <f t="shared" si="40"/>
        <v/>
      </c>
      <c r="GZ62" s="61" t="str">
        <f t="shared" si="41"/>
        <v/>
      </c>
      <c r="HA62" s="61" t="str">
        <f t="shared" si="42"/>
        <v/>
      </c>
      <c r="HB62" s="61" t="str">
        <f t="shared" si="43"/>
        <v/>
      </c>
      <c r="HC62" s="61" t="str">
        <f t="shared" si="44"/>
        <v/>
      </c>
      <c r="HD62" s="61" t="str">
        <f t="shared" si="45"/>
        <v>x</v>
      </c>
      <c r="HE62" s="61" t="str">
        <f t="shared" si="46"/>
        <v/>
      </c>
      <c r="HF62" s="61" t="str">
        <f t="shared" si="47"/>
        <v/>
      </c>
      <c r="HG62" s="61" t="str">
        <f t="shared" si="48"/>
        <v/>
      </c>
      <c r="HH62" s="61" t="str">
        <f t="shared" si="49"/>
        <v/>
      </c>
      <c r="HI62" s="61" t="str">
        <f t="shared" si="50"/>
        <v/>
      </c>
      <c r="HJ62" s="61" t="str">
        <f t="shared" si="51"/>
        <v/>
      </c>
      <c r="HK62" s="61" t="str">
        <f t="shared" si="52"/>
        <v/>
      </c>
      <c r="HL62" s="61" t="str">
        <f t="shared" si="53"/>
        <v/>
      </c>
      <c r="HM62" s="61" t="str">
        <f t="shared" si="54"/>
        <v/>
      </c>
      <c r="HN62" s="61" t="str">
        <f t="shared" si="55"/>
        <v/>
      </c>
      <c r="HO62" s="61" t="str">
        <f t="shared" si="56"/>
        <v/>
      </c>
      <c r="HP62" s="61" t="str">
        <f t="shared" si="57"/>
        <v/>
      </c>
      <c r="HQ62" s="61" t="str">
        <f t="shared" si="58"/>
        <v/>
      </c>
      <c r="HR62" s="61" t="str">
        <f t="shared" si="59"/>
        <v/>
      </c>
      <c r="HS62" s="61" t="str">
        <f t="shared" si="60"/>
        <v/>
      </c>
      <c r="HT62" s="61" t="str">
        <f t="shared" si="61"/>
        <v/>
      </c>
      <c r="HU62" s="61" t="str">
        <f t="shared" si="62"/>
        <v/>
      </c>
      <c r="HV62" s="61" t="str">
        <f t="shared" si="63"/>
        <v/>
      </c>
      <c r="HW62" s="61" t="str">
        <f t="shared" si="64"/>
        <v/>
      </c>
      <c r="HX62" s="61" t="str">
        <f t="shared" si="65"/>
        <v/>
      </c>
      <c r="HY62" s="61" t="str">
        <f t="shared" si="66"/>
        <v/>
      </c>
      <c r="HZ62" s="61" t="str">
        <f t="shared" si="67"/>
        <v/>
      </c>
    </row>
    <row r="63" ht="1.5" customHeight="1">
      <c r="A63" s="49" t="s">
        <v>897</v>
      </c>
      <c r="B63" s="80" t="s">
        <v>898</v>
      </c>
      <c r="C63" s="113" t="s">
        <v>899</v>
      </c>
      <c r="D63" s="80" t="s">
        <v>245</v>
      </c>
      <c r="E63" s="107">
        <f t="shared" si="3"/>
        <v>2</v>
      </c>
      <c r="F63" s="80" t="s">
        <v>210</v>
      </c>
      <c r="G63" s="80" t="s">
        <v>211</v>
      </c>
      <c r="H63" s="80">
        <v>2010.0</v>
      </c>
      <c r="J63" s="80" t="s">
        <v>900</v>
      </c>
      <c r="K63" s="61" t="str">
        <f>if(AND(D63="Aysu", F63="Vahid"), 1, "")</f>
        <v/>
      </c>
      <c r="L63" s="61" t="str">
        <f>if(AND(D63="Aysu", F63="Ali"), 1, "")</f>
        <v/>
      </c>
      <c r="M63" s="61" t="str">
        <f>if(AND(D63="Vahid", F63="Aysu"), 1, "")</f>
        <v/>
      </c>
      <c r="N63" s="61" t="str">
        <f>if(AND(D63="Vahid", F63="Ali"), 1, "")</f>
        <v/>
      </c>
      <c r="O63" s="61">
        <f>if(AND(D63="Ali", F63="Vahid"), 1, "")</f>
        <v>1</v>
      </c>
      <c r="P63" s="61" t="str">
        <f>if(AND(D63="Ali", F63="Aysu"), 1, "")</f>
        <v/>
      </c>
      <c r="Q63" s="61" t="b">
        <f t="shared" si="261"/>
        <v>1</v>
      </c>
      <c r="R63" s="61" t="b">
        <f>SUM(S63:U63)&gt;=2</f>
        <v>1</v>
      </c>
      <c r="S63" s="80">
        <v>1.0</v>
      </c>
      <c r="T63" s="80">
        <v>1.0</v>
      </c>
      <c r="U63" s="80">
        <v>1.0</v>
      </c>
      <c r="V63" s="61" t="b">
        <f>SUM(W63:Y63)&gt;=2</f>
        <v>1</v>
      </c>
      <c r="W63" s="80">
        <v>1.0</v>
      </c>
      <c r="X63" s="80">
        <v>1.0</v>
      </c>
      <c r="Y63" s="80">
        <v>1.0</v>
      </c>
      <c r="AA63" s="61" t="str">
        <f>iferror(if(find("Pollock", AC63)&gt;0,concat(J63,", "), ""))</f>
        <v/>
      </c>
      <c r="AB63" s="61" t="str">
        <f>if(GI63="x",concat(J63,", "), "")</f>
        <v>Li:jss10, </v>
      </c>
      <c r="AC63" s="80" t="s">
        <v>901</v>
      </c>
      <c r="AD63" s="80" t="s">
        <v>902</v>
      </c>
      <c r="AE63" s="80" t="s">
        <v>217</v>
      </c>
      <c r="AF63" s="80">
        <v>1.0</v>
      </c>
      <c r="AG63" s="80" t="s">
        <v>903</v>
      </c>
      <c r="AH63" s="61">
        <f t="array" ref="AH63">countif({},AG63)</f>
        <v>0</v>
      </c>
      <c r="AI63" s="80" t="s">
        <v>231</v>
      </c>
      <c r="AJ63" s="80">
        <v>2.0</v>
      </c>
      <c r="AK63" s="108">
        <f>AJ63/(2012-H63)</f>
        <v>1</v>
      </c>
      <c r="AL63" s="61">
        <f>if(AI63="J",AJ63,"")</f>
        <v>2</v>
      </c>
      <c r="AM63" s="61" t="str">
        <f>if(AI63="C",AJ63,"")</f>
        <v/>
      </c>
      <c r="AN63" s="61" t="str">
        <f>if(AI63="W", AJ63,"")</f>
        <v/>
      </c>
      <c r="AO63" s="61" t="str">
        <f>if(AI63="M",AJ63,"")</f>
        <v/>
      </c>
      <c r="AP63" s="61" t="str">
        <f>if(AI63="S",AJ63,"")</f>
        <v/>
      </c>
      <c r="AQ63" s="61" t="str">
        <f>if(BH63="x",concat(J63,", "), "")</f>
        <v/>
      </c>
      <c r="AR63" s="74"/>
      <c r="AS63" s="74"/>
      <c r="AT63" s="74"/>
      <c r="AU63" s="74"/>
      <c r="AV63" s="74"/>
      <c r="AW63" s="74"/>
      <c r="AX63" s="74"/>
      <c r="AY63" s="74"/>
      <c r="AZ63" s="73" t="s">
        <v>217</v>
      </c>
      <c r="BA63" s="74"/>
      <c r="BB63" s="109" t="str">
        <f t="shared" si="106"/>
        <v/>
      </c>
      <c r="BC63" s="73" t="s">
        <v>217</v>
      </c>
      <c r="BD63" s="74"/>
      <c r="BE63" s="74"/>
      <c r="BF63" s="74"/>
      <c r="BG63" s="74"/>
      <c r="BH63" s="74"/>
      <c r="BI63" s="110">
        <f>COUNTA(BC63:BH63)</f>
        <v>1</v>
      </c>
      <c r="BJ63" s="74"/>
      <c r="BK63" s="74"/>
      <c r="BL63" s="74"/>
      <c r="BM63" s="74"/>
      <c r="BN63" s="74"/>
      <c r="BO63" s="74"/>
      <c r="BP63" s="73" t="s">
        <v>217</v>
      </c>
      <c r="BQ63" s="74"/>
      <c r="BR63" s="74"/>
      <c r="BS63" s="74"/>
      <c r="BT63" s="74"/>
      <c r="BU63" s="74"/>
      <c r="BV63" s="73" t="s">
        <v>217</v>
      </c>
      <c r="BW63" s="74"/>
      <c r="BX63" s="74"/>
      <c r="BY63" s="73" t="s">
        <v>217</v>
      </c>
      <c r="BZ63" s="74"/>
      <c r="CA63" s="74"/>
      <c r="CB63" s="74"/>
      <c r="CC63" s="74"/>
      <c r="CD63" s="74"/>
      <c r="CE63" s="74"/>
      <c r="CF63" s="74"/>
      <c r="CG63" s="73" t="s">
        <v>217</v>
      </c>
      <c r="CH63" s="74"/>
      <c r="CI63" s="111" t="str">
        <f t="shared" si="260"/>
        <v/>
      </c>
      <c r="CJ63" s="110">
        <f>if(CG63="x", 1, if(CH63="x", 2, 3))</f>
        <v>1</v>
      </c>
      <c r="CK63" s="73" t="s">
        <v>217</v>
      </c>
      <c r="CL63" s="74"/>
      <c r="CM63" s="74"/>
      <c r="CN63" s="74"/>
      <c r="CO63" s="74"/>
      <c r="CP63" s="74"/>
      <c r="CQ63" s="74"/>
      <c r="CU63" s="80" t="s">
        <v>217</v>
      </c>
      <c r="CV63" s="80" t="s">
        <v>217</v>
      </c>
      <c r="CZ63" s="80" t="s">
        <v>217</v>
      </c>
      <c r="DG63" s="61">
        <f t="shared" si="108"/>
        <v>2</v>
      </c>
      <c r="DH63" s="80" t="s">
        <v>217</v>
      </c>
      <c r="DM63" s="61">
        <f>counta(DH63:DL63)</f>
        <v>1</v>
      </c>
      <c r="DN63" s="80" t="s">
        <v>217</v>
      </c>
      <c r="DO63" s="80" t="s">
        <v>217</v>
      </c>
      <c r="DP63" s="61" t="str">
        <f t="shared" si="109"/>
        <v>both</v>
      </c>
      <c r="DQ63" s="61" t="str">
        <f t="shared" si="110"/>
        <v/>
      </c>
      <c r="DR63" s="61" t="str">
        <f t="shared" si="111"/>
        <v/>
      </c>
      <c r="DS63" s="74"/>
      <c r="DT63" s="74"/>
      <c r="DU63" s="74"/>
      <c r="DV63" s="73" t="s">
        <v>217</v>
      </c>
      <c r="DW63" s="74"/>
      <c r="DX63" s="74"/>
      <c r="DY63" s="110">
        <f t="shared" si="29"/>
        <v>1</v>
      </c>
      <c r="DZ63" s="110" t="str">
        <f t="shared" si="262"/>
        <v/>
      </c>
      <c r="EA63" s="74"/>
      <c r="EB63" s="74"/>
      <c r="EC63" s="74"/>
      <c r="ED63" s="74"/>
      <c r="EE63" s="110">
        <f t="shared" si="30"/>
        <v>0</v>
      </c>
      <c r="EF63" s="110" t="str">
        <f t="shared" si="70"/>
        <v/>
      </c>
      <c r="EG63" s="61" t="str">
        <f t="shared" si="31"/>
        <v/>
      </c>
      <c r="EI63" s="80" t="s">
        <v>904</v>
      </c>
      <c r="EJ63" s="74"/>
      <c r="EK63" s="74"/>
      <c r="EL63" s="74"/>
      <c r="EM63" s="74"/>
      <c r="EN63" s="80" t="s">
        <v>217</v>
      </c>
      <c r="EO63" s="80" t="s">
        <v>217</v>
      </c>
      <c r="ES63" s="80" t="s">
        <v>905</v>
      </c>
      <c r="ET63" s="73">
        <v>0.0</v>
      </c>
      <c r="EU63" s="74"/>
      <c r="EV63" s="74"/>
      <c r="EW63" s="74"/>
      <c r="EX63" s="74"/>
      <c r="EZ63" s="80" t="s">
        <v>906</v>
      </c>
      <c r="FA63" s="80" t="s">
        <v>907</v>
      </c>
      <c r="FD63" s="80" t="s">
        <v>256</v>
      </c>
      <c r="FE63" s="97">
        <f t="shared" si="32"/>
        <v>2</v>
      </c>
      <c r="FF63" s="80">
        <v>1.0</v>
      </c>
      <c r="FG63" s="80">
        <v>0.5</v>
      </c>
      <c r="FH63" s="80">
        <v>0.5</v>
      </c>
      <c r="FI63" s="61">
        <f t="shared" ref="FI63:FI72" si="263">sum(FF63:FH63)</f>
        <v>2</v>
      </c>
      <c r="FJ63" s="80">
        <v>0.0</v>
      </c>
      <c r="FK63" s="80">
        <v>0.0</v>
      </c>
      <c r="FL63" s="80">
        <v>0.0</v>
      </c>
      <c r="FM63" s="61" t="str">
        <f t="shared" ref="FM63:FM72" si="264">if(GP63&lt;1000, "0", if(GP63&lt;10000, "0.5","1"))</f>
        <v>1</v>
      </c>
      <c r="FN63" s="61">
        <f>SUM.LEGACY(FJ63:FM63)</f>
        <v>1</v>
      </c>
      <c r="FP63" s="80" t="s">
        <v>217</v>
      </c>
      <c r="FQ63" s="61" t="str">
        <f>if(and(FO63="",FP63=""), "both", "")</f>
        <v/>
      </c>
      <c r="FR63" s="80" t="s">
        <v>217</v>
      </c>
      <c r="FT63" s="61" t="str">
        <f>if(and(FS63="x",FR63="x"), "both", "")</f>
        <v/>
      </c>
      <c r="FU63" s="61" t="str">
        <f>if(and(FR63="",FS63=""), "none", "")</f>
        <v/>
      </c>
      <c r="FV63" s="74"/>
      <c r="FW63" s="80" t="s">
        <v>217</v>
      </c>
      <c r="FX63" s="80" t="s">
        <v>217</v>
      </c>
      <c r="GI63" s="80" t="s">
        <v>217</v>
      </c>
      <c r="GL63" s="80" t="s">
        <v>908</v>
      </c>
      <c r="GN63" s="80">
        <v>2.0</v>
      </c>
      <c r="GO63" s="80" t="s">
        <v>909</v>
      </c>
      <c r="GP63" s="112">
        <v>159409.0</v>
      </c>
      <c r="GQ63" s="80" t="s">
        <v>910</v>
      </c>
      <c r="GS63" s="80" t="s">
        <v>217</v>
      </c>
      <c r="GU63" s="61" t="str">
        <f t="shared" si="36"/>
        <v>x</v>
      </c>
      <c r="GV63" s="61" t="str">
        <f t="shared" si="37"/>
        <v/>
      </c>
      <c r="GW63" s="61" t="str">
        <f t="shared" si="38"/>
        <v/>
      </c>
      <c r="GX63" s="61" t="str">
        <f t="shared" si="39"/>
        <v/>
      </c>
      <c r="GY63" s="61" t="str">
        <f t="shared" si="40"/>
        <v>x</v>
      </c>
      <c r="GZ63" s="61" t="str">
        <f t="shared" si="41"/>
        <v/>
      </c>
      <c r="HA63" s="61" t="str">
        <f t="shared" si="42"/>
        <v/>
      </c>
      <c r="HB63" s="61" t="str">
        <f t="shared" si="43"/>
        <v/>
      </c>
      <c r="HC63" s="61" t="str">
        <f t="shared" si="44"/>
        <v/>
      </c>
      <c r="HD63" s="61" t="str">
        <f t="shared" si="45"/>
        <v/>
      </c>
      <c r="HE63" s="61" t="str">
        <f t="shared" si="46"/>
        <v/>
      </c>
      <c r="HF63" s="61" t="str">
        <f t="shared" si="47"/>
        <v/>
      </c>
      <c r="HG63" s="61" t="str">
        <f t="shared" si="48"/>
        <v/>
      </c>
      <c r="HH63" s="61" t="str">
        <f t="shared" si="49"/>
        <v/>
      </c>
      <c r="HI63" s="61" t="str">
        <f t="shared" si="50"/>
        <v/>
      </c>
      <c r="HJ63" s="61" t="str">
        <f t="shared" si="51"/>
        <v/>
      </c>
      <c r="HK63" s="61" t="str">
        <f t="shared" si="52"/>
        <v/>
      </c>
      <c r="HL63" s="61" t="str">
        <f t="shared" si="53"/>
        <v/>
      </c>
      <c r="HM63" s="61" t="str">
        <f t="shared" si="54"/>
        <v/>
      </c>
      <c r="HN63" s="61" t="str">
        <f t="shared" si="55"/>
        <v/>
      </c>
      <c r="HO63" s="61" t="str">
        <f t="shared" si="56"/>
        <v/>
      </c>
      <c r="HP63" s="61" t="str">
        <f t="shared" si="57"/>
        <v/>
      </c>
      <c r="HQ63" s="61" t="str">
        <f t="shared" si="58"/>
        <v/>
      </c>
      <c r="HR63" s="61" t="str">
        <f t="shared" si="59"/>
        <v/>
      </c>
      <c r="HS63" s="61" t="str">
        <f t="shared" si="60"/>
        <v/>
      </c>
      <c r="HT63" s="61" t="str">
        <f t="shared" si="61"/>
        <v/>
      </c>
      <c r="HU63" s="61" t="str">
        <f t="shared" si="62"/>
        <v/>
      </c>
      <c r="HV63" s="61" t="str">
        <f t="shared" si="63"/>
        <v/>
      </c>
      <c r="HW63" s="61" t="str">
        <f t="shared" si="64"/>
        <v/>
      </c>
      <c r="HX63" s="61" t="str">
        <f t="shared" si="65"/>
        <v/>
      </c>
      <c r="HY63" s="61" t="str">
        <f t="shared" si="66"/>
        <v/>
      </c>
      <c r="HZ63" s="61" t="str">
        <f t="shared" si="67"/>
        <v/>
      </c>
    </row>
    <row r="64" ht="1.5" customHeight="1">
      <c r="A64" s="49" t="s">
        <v>911</v>
      </c>
      <c r="B64" s="80" t="s">
        <v>912</v>
      </c>
      <c r="C64" s="113" t="s">
        <v>913</v>
      </c>
      <c r="D64" s="80" t="s">
        <v>301</v>
      </c>
      <c r="E64" s="107">
        <f t="shared" si="3"/>
        <v>2</v>
      </c>
      <c r="F64" s="80" t="s">
        <v>209</v>
      </c>
      <c r="G64" s="80" t="s">
        <v>217</v>
      </c>
      <c r="H64" s="80">
        <v>2013.0</v>
      </c>
      <c r="J64" s="80" t="s">
        <v>914</v>
      </c>
      <c r="Q64" s="61" t="b">
        <f t="shared" si="261"/>
        <v>1</v>
      </c>
      <c r="R64" s="61" t="b">
        <f>if(AVERAGE(S64:U64)&gt;=5, TRUE, FALSE)</f>
        <v>1</v>
      </c>
      <c r="S64" s="80">
        <v>7.0</v>
      </c>
      <c r="T64" s="80">
        <v>7.0</v>
      </c>
      <c r="U64" s="80">
        <v>7.0</v>
      </c>
      <c r="V64" s="61" t="b">
        <f>if(AVERAGE(W64:Y64)&gt;=5, TRUE, FALSE)</f>
        <v>1</v>
      </c>
      <c r="W64" s="80">
        <v>7.0</v>
      </c>
      <c r="X64" s="80">
        <v>7.0</v>
      </c>
      <c r="Y64" s="80">
        <v>7.0</v>
      </c>
      <c r="Z64" s="115" t="s">
        <v>915</v>
      </c>
      <c r="AC64" s="127"/>
      <c r="AR64" s="73" t="s">
        <v>217</v>
      </c>
      <c r="AS64" s="74"/>
      <c r="AT64" s="74"/>
      <c r="AU64" s="74"/>
      <c r="AV64" s="74"/>
      <c r="AW64" s="74"/>
      <c r="AX64" s="74"/>
      <c r="AY64" s="74"/>
      <c r="AZ64" s="74"/>
      <c r="BA64" s="74"/>
      <c r="BB64" s="109" t="str">
        <f t="shared" si="106"/>
        <v>ERR</v>
      </c>
      <c r="BC64" s="73" t="s">
        <v>217</v>
      </c>
      <c r="BD64" s="73" t="s">
        <v>217</v>
      </c>
      <c r="BE64" s="74"/>
      <c r="BF64" s="73" t="s">
        <v>217</v>
      </c>
      <c r="BG64" s="74"/>
      <c r="BH64" s="74"/>
      <c r="BI64" s="74"/>
      <c r="BJ64" s="74"/>
      <c r="BK64" s="74"/>
      <c r="BL64" s="74"/>
      <c r="BM64" s="74"/>
      <c r="BN64" s="74"/>
      <c r="BO64" s="74"/>
      <c r="BP64" s="73" t="s">
        <v>217</v>
      </c>
      <c r="BQ64" s="74"/>
      <c r="BR64" s="74"/>
      <c r="BS64" s="74"/>
      <c r="BT64" s="74"/>
      <c r="BU64" s="74"/>
      <c r="BV64" s="73" t="s">
        <v>217</v>
      </c>
      <c r="BW64" s="74"/>
      <c r="BX64" s="73" t="s">
        <v>217</v>
      </c>
      <c r="BY64" s="74"/>
      <c r="BZ64" s="74"/>
      <c r="CA64" s="73" t="s">
        <v>217</v>
      </c>
      <c r="CB64" s="74"/>
      <c r="CC64" s="74"/>
      <c r="CD64" s="74"/>
      <c r="CE64" s="74"/>
      <c r="CF64" s="74"/>
      <c r="CG64" s="73" t="s">
        <v>217</v>
      </c>
      <c r="CH64" s="74"/>
      <c r="CI64" s="110" t="str">
        <f t="shared" si="260"/>
        <v/>
      </c>
      <c r="CJ64" s="74"/>
      <c r="CK64" s="74"/>
      <c r="CL64" s="73" t="s">
        <v>217</v>
      </c>
      <c r="CM64" s="74"/>
      <c r="CN64" s="74"/>
      <c r="CO64" s="73" t="s">
        <v>217</v>
      </c>
      <c r="CP64" s="74"/>
      <c r="CQ64" s="74"/>
      <c r="CS64" s="80" t="s">
        <v>217</v>
      </c>
      <c r="CY64" s="80" t="s">
        <v>217</v>
      </c>
      <c r="DG64" s="61">
        <f t="shared" si="108"/>
        <v>1</v>
      </c>
      <c r="DK64" s="80" t="s">
        <v>217</v>
      </c>
      <c r="DO64" s="80" t="s">
        <v>217</v>
      </c>
      <c r="DP64" s="61" t="str">
        <f t="shared" si="109"/>
        <v/>
      </c>
      <c r="DQ64" s="61" t="str">
        <f t="shared" si="110"/>
        <v/>
      </c>
      <c r="DR64" s="61" t="str">
        <f t="shared" si="111"/>
        <v>FA</v>
      </c>
      <c r="DT64" s="74"/>
      <c r="DU64" s="73" t="s">
        <v>466</v>
      </c>
      <c r="DV64" s="74"/>
      <c r="DW64" s="73" t="s">
        <v>217</v>
      </c>
      <c r="DY64" s="110">
        <f t="shared" si="29"/>
        <v>2</v>
      </c>
      <c r="DZ64" s="110" t="str">
        <f>if(AND(DU64&lt;&gt;"",DW64="x"), "x", "")</f>
        <v>x</v>
      </c>
      <c r="EA64" s="73" t="s">
        <v>217</v>
      </c>
      <c r="EB64" s="74"/>
      <c r="EC64" s="74"/>
      <c r="ED64" s="74"/>
      <c r="EE64" s="110">
        <f t="shared" si="30"/>
        <v>1</v>
      </c>
      <c r="EF64" s="110" t="str">
        <f t="shared" si="70"/>
        <v>x</v>
      </c>
      <c r="EG64" s="61" t="str">
        <f t="shared" si="31"/>
        <v/>
      </c>
      <c r="EI64" s="80" t="s">
        <v>916</v>
      </c>
      <c r="EJ64" s="74"/>
      <c r="EK64" s="74"/>
      <c r="EL64" s="74"/>
      <c r="EM64" s="74"/>
      <c r="ES64" s="80" t="s">
        <v>917</v>
      </c>
      <c r="ET64" s="73">
        <v>4.0</v>
      </c>
      <c r="EU64" s="74"/>
      <c r="EV64" s="74"/>
      <c r="EW64" s="74"/>
      <c r="EX64" s="74"/>
      <c r="EZ64" s="80" t="s">
        <v>918</v>
      </c>
      <c r="FE64" s="97">
        <f t="shared" si="32"/>
        <v>0</v>
      </c>
      <c r="FF64" s="80" t="s">
        <v>189</v>
      </c>
      <c r="FG64" s="80" t="s">
        <v>189</v>
      </c>
      <c r="FH64" s="80">
        <v>0.5</v>
      </c>
      <c r="FI64" s="61">
        <f t="shared" si="263"/>
        <v>0.5</v>
      </c>
      <c r="FJ64" s="80" t="s">
        <v>189</v>
      </c>
      <c r="FK64" s="80">
        <v>0.0</v>
      </c>
      <c r="FL64" s="80" t="s">
        <v>189</v>
      </c>
      <c r="FM64" s="61" t="str">
        <f t="shared" si="264"/>
        <v>0</v>
      </c>
      <c r="FN64" s="61">
        <f t="shared" ref="FN64:FN66" si="265">sum(FJ64:FM64)</f>
        <v>0</v>
      </c>
      <c r="FP64" s="80" t="s">
        <v>217</v>
      </c>
      <c r="FR64" s="80" t="s">
        <v>217</v>
      </c>
      <c r="FV64" s="74"/>
      <c r="FW64" s="80" t="s">
        <v>217</v>
      </c>
      <c r="FX64" s="80" t="s">
        <v>217</v>
      </c>
      <c r="GI64" s="80" t="s">
        <v>217</v>
      </c>
      <c r="GL64" s="80" t="s">
        <v>919</v>
      </c>
      <c r="GU64" s="61" t="str">
        <f t="shared" si="36"/>
        <v/>
      </c>
      <c r="GV64" s="61" t="str">
        <f t="shared" si="37"/>
        <v/>
      </c>
      <c r="GW64" s="61" t="str">
        <f t="shared" si="38"/>
        <v/>
      </c>
      <c r="GX64" s="61" t="str">
        <f t="shared" si="39"/>
        <v>x</v>
      </c>
      <c r="GY64" s="61" t="str">
        <f t="shared" si="40"/>
        <v/>
      </c>
      <c r="GZ64" s="61" t="str">
        <f t="shared" si="41"/>
        <v/>
      </c>
      <c r="HA64" s="61" t="str">
        <f t="shared" si="42"/>
        <v/>
      </c>
      <c r="HB64" s="61" t="str">
        <f t="shared" si="43"/>
        <v/>
      </c>
      <c r="HC64" s="61" t="str">
        <f t="shared" si="44"/>
        <v/>
      </c>
      <c r="HD64" s="61" t="str">
        <f t="shared" si="45"/>
        <v/>
      </c>
      <c r="HE64" s="61" t="str">
        <f t="shared" si="46"/>
        <v/>
      </c>
      <c r="HF64" s="61" t="str">
        <f t="shared" si="47"/>
        <v/>
      </c>
      <c r="HG64" s="61" t="str">
        <f t="shared" si="48"/>
        <v/>
      </c>
      <c r="HH64" s="61" t="str">
        <f t="shared" si="49"/>
        <v/>
      </c>
      <c r="HI64" s="61" t="str">
        <f t="shared" si="50"/>
        <v/>
      </c>
      <c r="HJ64" s="61" t="str">
        <f t="shared" si="51"/>
        <v/>
      </c>
      <c r="HK64" s="61" t="str">
        <f t="shared" si="52"/>
        <v/>
      </c>
      <c r="HL64" s="61" t="str">
        <f t="shared" si="53"/>
        <v/>
      </c>
      <c r="HM64" s="61" t="str">
        <f t="shared" si="54"/>
        <v/>
      </c>
      <c r="HN64" s="61" t="str">
        <f t="shared" si="55"/>
        <v/>
      </c>
      <c r="HO64" s="61" t="str">
        <f t="shared" si="56"/>
        <v/>
      </c>
      <c r="HP64" s="61" t="str">
        <f t="shared" si="57"/>
        <v/>
      </c>
      <c r="HQ64" s="61" t="str">
        <f t="shared" si="58"/>
        <v>x</v>
      </c>
      <c r="HR64" s="61" t="str">
        <f t="shared" si="59"/>
        <v/>
      </c>
      <c r="HS64" s="61" t="str">
        <f t="shared" si="60"/>
        <v/>
      </c>
      <c r="HT64" s="61" t="str">
        <f t="shared" si="61"/>
        <v/>
      </c>
      <c r="HU64" s="61" t="str">
        <f t="shared" si="62"/>
        <v/>
      </c>
      <c r="HV64" s="61" t="str">
        <f t="shared" si="63"/>
        <v/>
      </c>
      <c r="HW64" s="61" t="str">
        <f t="shared" si="64"/>
        <v/>
      </c>
      <c r="HX64" s="61" t="str">
        <f t="shared" si="65"/>
        <v/>
      </c>
      <c r="HY64" s="61" t="str">
        <f t="shared" si="66"/>
        <v/>
      </c>
      <c r="HZ64" s="61" t="str">
        <f t="shared" si="67"/>
        <v/>
      </c>
    </row>
    <row r="65" ht="1.5" customHeight="1">
      <c r="A65" s="49" t="s">
        <v>920</v>
      </c>
      <c r="B65" s="80" t="s">
        <v>921</v>
      </c>
      <c r="C65" s="113" t="s">
        <v>922</v>
      </c>
      <c r="D65" s="80" t="s">
        <v>245</v>
      </c>
      <c r="E65" s="107">
        <f t="shared" si="3"/>
        <v>2</v>
      </c>
      <c r="F65" s="80" t="s">
        <v>209</v>
      </c>
      <c r="G65" s="80" t="s">
        <v>211</v>
      </c>
      <c r="H65" s="80">
        <v>2010.0</v>
      </c>
      <c r="J65" s="80" t="s">
        <v>923</v>
      </c>
      <c r="K65" s="61" t="str">
        <f t="shared" ref="K65:K76" si="266">if(AND(D65="Aysu", F65="Vahid"), 1, "")</f>
        <v/>
      </c>
      <c r="L65" s="61" t="str">
        <f t="shared" ref="L65:L76" si="267">if(AND(D65="Aysu", F65="Ali"), 1, "")</f>
        <v/>
      </c>
      <c r="M65" s="61" t="str">
        <f t="shared" ref="M65:M76" si="268">if(AND(D65="Vahid", F65="Aysu"), 1, "")</f>
        <v/>
      </c>
      <c r="N65" s="61" t="str">
        <f t="shared" ref="N65:N76" si="269">if(AND(D65="Vahid", F65="Ali"), 1, "")</f>
        <v/>
      </c>
      <c r="O65" s="61" t="str">
        <f t="shared" ref="O65:O76" si="270">if(AND(D65="Ali", F65="Vahid"), 1, "")</f>
        <v/>
      </c>
      <c r="P65" s="61">
        <f t="shared" ref="P65:P76" si="271">if(AND(D65="Ali", F65="Aysu"), 1, "")</f>
        <v>1</v>
      </c>
      <c r="Q65" s="61" t="b">
        <f t="shared" si="261"/>
        <v>1</v>
      </c>
      <c r="R65" s="61" t="b">
        <f t="shared" ref="R65:R76" si="272">SUM(S65:U65)&gt;=2</f>
        <v>1</v>
      </c>
      <c r="S65" s="80">
        <v>1.0</v>
      </c>
      <c r="T65" s="80">
        <v>1.0</v>
      </c>
      <c r="U65" s="80">
        <v>1.0</v>
      </c>
      <c r="V65" s="61" t="b">
        <f t="shared" ref="V65:V76" si="273">SUM(W65:Y65)&gt;=2</f>
        <v>1</v>
      </c>
      <c r="W65" s="80">
        <v>1.0</v>
      </c>
      <c r="X65" s="80">
        <v>1.0</v>
      </c>
      <c r="Y65" s="80">
        <v>1.0</v>
      </c>
      <c r="Z65" s="115" t="s">
        <v>924</v>
      </c>
      <c r="AA65" s="61" t="str">
        <f t="shared" ref="AA65:AA76" si="274">iferror(if(find("Pollock", AC65)&gt;0,concat(J65,", "), ""))</f>
        <v/>
      </c>
      <c r="AB65" s="61" t="str">
        <f t="shared" ref="AB65:AB76" si="275">if(GI65="x",concat(J65,", "), "")</f>
        <v/>
      </c>
      <c r="AC65" s="114" t="s">
        <v>925</v>
      </c>
      <c r="AD65" s="80" t="s">
        <v>266</v>
      </c>
      <c r="AF65" s="61">
        <f>countif('Charts-SLR'!A:A,AD65)</f>
        <v>1</v>
      </c>
      <c r="AG65" s="80" t="s">
        <v>249</v>
      </c>
      <c r="AH65" s="61">
        <f t="shared" ref="AH65:AH76" si="276">countif({},AG65)</f>
        <v>0</v>
      </c>
      <c r="AI65" s="80" t="s">
        <v>250</v>
      </c>
      <c r="AJ65" s="80">
        <v>10.0</v>
      </c>
      <c r="AK65" s="108">
        <f t="shared" ref="AK65:AK76" si="277">AJ65/(2012-H65)</f>
        <v>5</v>
      </c>
      <c r="AL65" s="61" t="str">
        <f t="shared" ref="AL65:AL76" si="278">if(AI65="J",AJ65,"")</f>
        <v/>
      </c>
      <c r="AM65" s="61">
        <f t="shared" ref="AM65:AM76" si="279">if(AI65="C",AJ65,"")</f>
        <v>10</v>
      </c>
      <c r="AN65" s="61" t="str">
        <f t="shared" ref="AN65:AN76" si="280">if(AI65="W", AJ65,"")</f>
        <v/>
      </c>
      <c r="AO65" s="61" t="str">
        <f t="shared" ref="AO65:AO76" si="281">if(AI65="M",AJ65,"")</f>
        <v/>
      </c>
      <c r="AP65" s="61" t="str">
        <f t="shared" ref="AP65:AP76" si="282">if(AI65="S",AJ65,"")</f>
        <v/>
      </c>
      <c r="AQ65" s="61" t="str">
        <f t="shared" ref="AQ65:AQ76" si="283">if(BH65="x",concat(J65,", "), "")</f>
        <v/>
      </c>
      <c r="AR65" s="74"/>
      <c r="AS65" s="74"/>
      <c r="AT65" s="74"/>
      <c r="AU65" s="74"/>
      <c r="AV65" s="74"/>
      <c r="AW65" s="74"/>
      <c r="AX65" s="74"/>
      <c r="AY65" s="74"/>
      <c r="AZ65" s="74"/>
      <c r="BA65" s="73" t="s">
        <v>217</v>
      </c>
      <c r="BB65" s="109" t="str">
        <f t="shared" si="106"/>
        <v/>
      </c>
      <c r="BC65" s="73" t="s">
        <v>217</v>
      </c>
      <c r="BD65" s="73" t="s">
        <v>217</v>
      </c>
      <c r="BE65" s="74"/>
      <c r="BF65" s="74"/>
      <c r="BG65" s="74"/>
      <c r="BH65" s="74"/>
      <c r="BI65" s="110">
        <f t="shared" ref="BI65:BI76" si="284">COUNTA(BC65:BH65)</f>
        <v>2</v>
      </c>
      <c r="BJ65" s="74"/>
      <c r="BK65" s="74"/>
      <c r="BL65" s="74"/>
      <c r="BM65" s="74"/>
      <c r="BN65" s="74"/>
      <c r="BO65" s="74"/>
      <c r="BP65" s="73" t="s">
        <v>217</v>
      </c>
      <c r="BQ65" s="74"/>
      <c r="BR65" s="74"/>
      <c r="BS65" s="74"/>
      <c r="BT65" s="74"/>
      <c r="BU65" s="74"/>
      <c r="BV65" s="74"/>
      <c r="BW65" s="74"/>
      <c r="BX65" s="73" t="s">
        <v>217</v>
      </c>
      <c r="BY65" s="73" t="s">
        <v>217</v>
      </c>
      <c r="BZ65" s="74"/>
      <c r="CA65" s="74"/>
      <c r="CB65" s="74"/>
      <c r="CC65" s="74"/>
      <c r="CD65" s="74"/>
      <c r="CE65" s="73" t="s">
        <v>217</v>
      </c>
      <c r="CF65" s="73" t="s">
        <v>926</v>
      </c>
      <c r="CG65" s="74"/>
      <c r="CH65" s="73" t="s">
        <v>217</v>
      </c>
      <c r="CI65" s="110" t="str">
        <f t="shared" si="260"/>
        <v/>
      </c>
      <c r="CJ65" s="110">
        <f t="shared" ref="CJ65:CJ76" si="285">if(CG65="x", 1, if(CH65="x", 2, 3))</f>
        <v>2</v>
      </c>
      <c r="CK65" s="73" t="s">
        <v>217</v>
      </c>
      <c r="CL65" s="74"/>
      <c r="CM65" s="74"/>
      <c r="CN65" s="73" t="s">
        <v>217</v>
      </c>
      <c r="CO65" s="74"/>
      <c r="CP65" s="74"/>
      <c r="CQ65" s="74"/>
      <c r="CU65" s="80" t="s">
        <v>217</v>
      </c>
      <c r="DA65" s="80" t="s">
        <v>217</v>
      </c>
      <c r="DG65" s="61">
        <f t="shared" si="108"/>
        <v>1</v>
      </c>
      <c r="DH65" s="80" t="s">
        <v>217</v>
      </c>
      <c r="DM65" s="61">
        <f t="shared" ref="DM65:DM76" si="286">counta(DH65:DL65)</f>
        <v>1</v>
      </c>
      <c r="DO65" s="80" t="s">
        <v>217</v>
      </c>
      <c r="DP65" s="61" t="str">
        <f t="shared" si="109"/>
        <v/>
      </c>
      <c r="DQ65" s="61" t="str">
        <f t="shared" si="110"/>
        <v/>
      </c>
      <c r="DR65" s="61" t="str">
        <f t="shared" si="111"/>
        <v>FA</v>
      </c>
      <c r="DS65" s="73" t="s">
        <v>927</v>
      </c>
      <c r="DT65" s="74"/>
      <c r="DU65" s="74"/>
      <c r="DV65" s="74"/>
      <c r="DW65" s="73" t="s">
        <v>217</v>
      </c>
      <c r="DX65" s="74"/>
      <c r="DY65" s="110">
        <f t="shared" si="29"/>
        <v>2</v>
      </c>
      <c r="DZ65" s="74"/>
      <c r="EA65" s="74"/>
      <c r="EB65" s="74"/>
      <c r="EC65" s="74"/>
      <c r="ED65" s="74"/>
      <c r="EE65" s="110">
        <f t="shared" si="30"/>
        <v>0</v>
      </c>
      <c r="EF65" s="110" t="str">
        <f t="shared" si="70"/>
        <v/>
      </c>
      <c r="EG65" s="61" t="str">
        <f t="shared" si="31"/>
        <v/>
      </c>
      <c r="EI65" s="80" t="s">
        <v>928</v>
      </c>
      <c r="EJ65" s="74"/>
      <c r="EK65" s="74"/>
      <c r="EL65" s="74"/>
      <c r="EM65" s="74"/>
      <c r="EO65" s="80" t="s">
        <v>217</v>
      </c>
      <c r="ES65" s="80" t="s">
        <v>929</v>
      </c>
      <c r="ET65" s="73">
        <v>2.0</v>
      </c>
      <c r="EU65" s="74"/>
      <c r="EV65" s="74"/>
      <c r="EW65" s="74"/>
      <c r="EX65" s="74"/>
      <c r="EZ65" s="80" t="s">
        <v>930</v>
      </c>
      <c r="FA65" s="80" t="s">
        <v>615</v>
      </c>
      <c r="FD65" s="80" t="s">
        <v>256</v>
      </c>
      <c r="FE65" s="97">
        <f t="shared" si="32"/>
        <v>2</v>
      </c>
      <c r="FF65" s="80">
        <v>1.0</v>
      </c>
      <c r="FG65" s="80">
        <v>1.0</v>
      </c>
      <c r="FH65" s="80">
        <v>0.5</v>
      </c>
      <c r="FI65" s="61">
        <f t="shared" si="263"/>
        <v>2.5</v>
      </c>
      <c r="FJ65" s="80">
        <v>0.0</v>
      </c>
      <c r="FK65" s="80">
        <v>0.0</v>
      </c>
      <c r="FL65" s="80" t="s">
        <v>189</v>
      </c>
      <c r="FM65" s="61" t="str">
        <f t="shared" si="264"/>
        <v>1</v>
      </c>
      <c r="FN65" s="61">
        <f t="shared" si="265"/>
        <v>0</v>
      </c>
      <c r="FP65" s="80" t="s">
        <v>217</v>
      </c>
      <c r="FQ65" s="61" t="str">
        <f t="shared" ref="FQ65:FQ76" si="287">if(and(FO65="",FP65=""), "both", "")</f>
        <v/>
      </c>
      <c r="FR65" s="80" t="s">
        <v>217</v>
      </c>
      <c r="FT65" s="61" t="str">
        <f t="shared" ref="FT65:FT76" si="288">if(and(FS65="x",FR65="x"), "both", "")</f>
        <v/>
      </c>
      <c r="FU65" s="61" t="str">
        <f t="shared" ref="FU65:FU76" si="289">if(and(FR65="",FS65=""), "none", "")</f>
        <v/>
      </c>
      <c r="FV65" s="73" t="s">
        <v>217</v>
      </c>
      <c r="FZ65" s="80" t="s">
        <v>217</v>
      </c>
      <c r="GC65" s="80" t="s">
        <v>217</v>
      </c>
      <c r="GL65" s="80" t="s">
        <v>683</v>
      </c>
      <c r="GN65" s="80">
        <v>4.0</v>
      </c>
      <c r="GO65" s="80" t="s">
        <v>931</v>
      </c>
      <c r="GP65" s="112">
        <v>21102.0</v>
      </c>
      <c r="GQ65" s="80" t="s">
        <v>932</v>
      </c>
      <c r="GS65" s="80" t="s">
        <v>217</v>
      </c>
      <c r="GU65" s="61" t="str">
        <f t="shared" si="36"/>
        <v/>
      </c>
      <c r="GV65" s="61" t="str">
        <f t="shared" si="37"/>
        <v/>
      </c>
      <c r="GW65" s="61" t="str">
        <f t="shared" si="38"/>
        <v/>
      </c>
      <c r="GX65" s="61" t="str">
        <f t="shared" si="39"/>
        <v/>
      </c>
      <c r="GY65" s="61" t="str">
        <f t="shared" si="40"/>
        <v/>
      </c>
      <c r="GZ65" s="61" t="str">
        <f t="shared" si="41"/>
        <v/>
      </c>
      <c r="HA65" s="61" t="str">
        <f t="shared" si="42"/>
        <v/>
      </c>
      <c r="HB65" s="61" t="str">
        <f t="shared" si="43"/>
        <v/>
      </c>
      <c r="HC65" s="61" t="str">
        <f t="shared" si="44"/>
        <v/>
      </c>
      <c r="HD65" s="61" t="str">
        <f t="shared" si="45"/>
        <v/>
      </c>
      <c r="HE65" s="61" t="str">
        <f t="shared" si="46"/>
        <v/>
      </c>
      <c r="HF65" s="61" t="str">
        <f t="shared" si="47"/>
        <v/>
      </c>
      <c r="HG65" s="61" t="str">
        <f t="shared" si="48"/>
        <v/>
      </c>
      <c r="HH65" s="61" t="str">
        <f t="shared" si="49"/>
        <v/>
      </c>
      <c r="HI65" s="61" t="str">
        <f t="shared" si="50"/>
        <v/>
      </c>
      <c r="HJ65" s="61" t="str">
        <f t="shared" si="51"/>
        <v/>
      </c>
      <c r="HK65" s="61" t="str">
        <f t="shared" si="52"/>
        <v/>
      </c>
      <c r="HL65" s="61" t="str">
        <f t="shared" si="53"/>
        <v/>
      </c>
      <c r="HM65" s="61" t="str">
        <f t="shared" si="54"/>
        <v/>
      </c>
      <c r="HN65" s="61" t="str">
        <f t="shared" si="55"/>
        <v/>
      </c>
      <c r="HO65" s="61" t="str">
        <f t="shared" si="56"/>
        <v/>
      </c>
      <c r="HP65" s="61" t="str">
        <f t="shared" si="57"/>
        <v/>
      </c>
      <c r="HQ65" s="61" t="str">
        <f t="shared" si="58"/>
        <v/>
      </c>
      <c r="HR65" s="61" t="str">
        <f t="shared" si="59"/>
        <v/>
      </c>
      <c r="HS65" s="61" t="str">
        <f t="shared" si="60"/>
        <v/>
      </c>
      <c r="HT65" s="61" t="str">
        <f t="shared" si="61"/>
        <v/>
      </c>
      <c r="HU65" s="61" t="str">
        <f t="shared" si="62"/>
        <v/>
      </c>
      <c r="HV65" s="61" t="str">
        <f t="shared" si="63"/>
        <v/>
      </c>
      <c r="HW65" s="61" t="str">
        <f t="shared" si="64"/>
        <v/>
      </c>
      <c r="HX65" s="61" t="str">
        <f t="shared" si="65"/>
        <v/>
      </c>
      <c r="HY65" s="61" t="str">
        <f t="shared" si="66"/>
        <v/>
      </c>
      <c r="HZ65" s="61" t="str">
        <f t="shared" si="67"/>
        <v>x</v>
      </c>
    </row>
    <row r="66" ht="1.5" customHeight="1">
      <c r="A66" s="49" t="s">
        <v>933</v>
      </c>
      <c r="B66" s="80" t="s">
        <v>934</v>
      </c>
      <c r="C66" s="113" t="s">
        <v>935</v>
      </c>
      <c r="D66" s="80" t="s">
        <v>245</v>
      </c>
      <c r="E66" s="107">
        <f t="shared" si="3"/>
        <v>2</v>
      </c>
      <c r="F66" s="80" t="s">
        <v>209</v>
      </c>
      <c r="G66" s="80" t="s">
        <v>211</v>
      </c>
      <c r="H66" s="80">
        <v>2009.0</v>
      </c>
      <c r="J66" s="80" t="s">
        <v>936</v>
      </c>
      <c r="K66" s="61" t="str">
        <f t="shared" si="266"/>
        <v/>
      </c>
      <c r="L66" s="61" t="str">
        <f t="shared" si="267"/>
        <v/>
      </c>
      <c r="M66" s="61" t="str">
        <f t="shared" si="268"/>
        <v/>
      </c>
      <c r="N66" s="61" t="str">
        <f t="shared" si="269"/>
        <v/>
      </c>
      <c r="O66" s="61" t="str">
        <f t="shared" si="270"/>
        <v/>
      </c>
      <c r="P66" s="61">
        <f t="shared" si="271"/>
        <v>1</v>
      </c>
      <c r="Q66" s="61" t="b">
        <f t="shared" si="261"/>
        <v>1</v>
      </c>
      <c r="R66" s="61" t="b">
        <f t="shared" si="272"/>
        <v>1</v>
      </c>
      <c r="S66" s="80">
        <v>1.0</v>
      </c>
      <c r="T66" s="80">
        <v>1.0</v>
      </c>
      <c r="U66" s="80">
        <v>1.0</v>
      </c>
      <c r="V66" s="61" t="b">
        <f t="shared" si="273"/>
        <v>1</v>
      </c>
      <c r="W66" s="80">
        <v>1.0</v>
      </c>
      <c r="X66" s="80">
        <v>1.0</v>
      </c>
      <c r="Y66" s="80">
        <v>1.0</v>
      </c>
      <c r="AA66" s="61" t="str">
        <f t="shared" si="274"/>
        <v/>
      </c>
      <c r="AB66" s="61" t="str">
        <f t="shared" si="275"/>
        <v/>
      </c>
      <c r="AC66" s="114" t="s">
        <v>937</v>
      </c>
      <c r="AD66" s="80" t="s">
        <v>266</v>
      </c>
      <c r="AF66" s="61">
        <f>countif('Charts-SLR'!A:A,AD66)</f>
        <v>1</v>
      </c>
      <c r="AG66" s="80" t="s">
        <v>677</v>
      </c>
      <c r="AH66" s="61">
        <f t="shared" si="276"/>
        <v>0</v>
      </c>
      <c r="AI66" s="80" t="s">
        <v>268</v>
      </c>
      <c r="AJ66" s="80">
        <v>20.0</v>
      </c>
      <c r="AK66" s="108">
        <f t="shared" si="277"/>
        <v>6.666666667</v>
      </c>
      <c r="AL66" s="61" t="str">
        <f t="shared" si="278"/>
        <v/>
      </c>
      <c r="AM66" s="61" t="str">
        <f t="shared" si="279"/>
        <v/>
      </c>
      <c r="AN66" s="61" t="str">
        <f t="shared" si="280"/>
        <v/>
      </c>
      <c r="AO66" s="61" t="str">
        <f t="shared" si="281"/>
        <v/>
      </c>
      <c r="AP66" s="61">
        <f t="shared" si="282"/>
        <v>20</v>
      </c>
      <c r="AQ66" s="61" t="str">
        <f t="shared" si="283"/>
        <v>halfond:issta'09, </v>
      </c>
      <c r="AR66" s="74"/>
      <c r="AS66" s="74"/>
      <c r="AT66" s="74"/>
      <c r="AU66" s="74"/>
      <c r="AV66" s="74"/>
      <c r="AW66" s="74"/>
      <c r="AX66" s="74"/>
      <c r="AY66" s="74"/>
      <c r="AZ66" s="73" t="s">
        <v>217</v>
      </c>
      <c r="BA66" s="74"/>
      <c r="BB66" s="109" t="str">
        <f t="shared" si="106"/>
        <v/>
      </c>
      <c r="BC66" s="74"/>
      <c r="BD66" s="74"/>
      <c r="BE66" s="74"/>
      <c r="BF66" s="74"/>
      <c r="BG66" s="74"/>
      <c r="BH66" s="73" t="s">
        <v>217</v>
      </c>
      <c r="BI66" s="110">
        <f t="shared" si="284"/>
        <v>1</v>
      </c>
      <c r="BJ66" s="74"/>
      <c r="BK66" s="74"/>
      <c r="BL66" s="74"/>
      <c r="BM66" s="74"/>
      <c r="BN66" s="74"/>
      <c r="BO66" s="74"/>
      <c r="BP66" s="73" t="s">
        <v>217</v>
      </c>
      <c r="BQ66" s="74"/>
      <c r="BR66" s="74"/>
      <c r="BS66" s="74"/>
      <c r="BT66" s="74"/>
      <c r="BU66" s="74"/>
      <c r="BV66" s="74"/>
      <c r="BW66" s="74"/>
      <c r="BX66" s="73" t="s">
        <v>217</v>
      </c>
      <c r="BY66" s="74"/>
      <c r="BZ66" s="74"/>
      <c r="CA66" s="74"/>
      <c r="CB66" s="74"/>
      <c r="CC66" s="74"/>
      <c r="CD66" s="74"/>
      <c r="CE66" s="73" t="s">
        <v>217</v>
      </c>
      <c r="CF66" s="73" t="s">
        <v>938</v>
      </c>
      <c r="CG66" s="74"/>
      <c r="CH66" s="73" t="s">
        <v>217</v>
      </c>
      <c r="CI66" s="110" t="str">
        <f t="shared" si="260"/>
        <v/>
      </c>
      <c r="CJ66" s="110">
        <f t="shared" si="285"/>
        <v>2</v>
      </c>
      <c r="CK66" s="73" t="s">
        <v>217</v>
      </c>
      <c r="CL66" s="74"/>
      <c r="CM66" s="74"/>
      <c r="CN66" s="73" t="s">
        <v>217</v>
      </c>
      <c r="CO66" s="74"/>
      <c r="CP66" s="74"/>
      <c r="CQ66" s="74"/>
      <c r="CW66" s="80" t="s">
        <v>217</v>
      </c>
      <c r="DG66" s="61">
        <f t="shared" si="108"/>
        <v>1</v>
      </c>
      <c r="DH66" s="80" t="s">
        <v>217</v>
      </c>
      <c r="DL66" s="114" t="s">
        <v>217</v>
      </c>
      <c r="DM66" s="61">
        <f t="shared" si="286"/>
        <v>2</v>
      </c>
      <c r="DO66" s="80" t="s">
        <v>217</v>
      </c>
      <c r="DP66" s="61" t="str">
        <f t="shared" si="109"/>
        <v/>
      </c>
      <c r="DQ66" s="61" t="str">
        <f t="shared" si="110"/>
        <v/>
      </c>
      <c r="DR66" s="61" t="str">
        <f t="shared" si="111"/>
        <v>FA</v>
      </c>
      <c r="DS66" s="73" t="s">
        <v>939</v>
      </c>
      <c r="DT66" s="74"/>
      <c r="DU66" s="73" t="s">
        <v>217</v>
      </c>
      <c r="DV66" s="74"/>
      <c r="DW66" s="74"/>
      <c r="DX66" s="73" t="s">
        <v>940</v>
      </c>
      <c r="DY66" s="110">
        <f t="shared" si="29"/>
        <v>3</v>
      </c>
      <c r="DZ66" s="74"/>
      <c r="EA66" s="73" t="s">
        <v>217</v>
      </c>
      <c r="EB66" s="73" t="s">
        <v>217</v>
      </c>
      <c r="EC66" s="74"/>
      <c r="ED66" s="74"/>
      <c r="EE66" s="110">
        <f t="shared" si="30"/>
        <v>2</v>
      </c>
      <c r="EF66" s="110" t="str">
        <f t="shared" si="70"/>
        <v>x</v>
      </c>
      <c r="EG66" s="61" t="str">
        <f t="shared" si="31"/>
        <v/>
      </c>
      <c r="EI66" s="80" t="s">
        <v>941</v>
      </c>
      <c r="EJ66" s="74"/>
      <c r="EK66" s="74"/>
      <c r="EL66" s="74"/>
      <c r="EM66" s="73" t="s">
        <v>217</v>
      </c>
      <c r="EO66" s="80" t="s">
        <v>217</v>
      </c>
      <c r="EP66" s="80" t="s">
        <v>217</v>
      </c>
      <c r="ES66" s="80" t="s">
        <v>942</v>
      </c>
      <c r="ET66" s="73">
        <v>3.0</v>
      </c>
      <c r="EU66" s="74"/>
      <c r="EV66" s="74"/>
      <c r="EW66" s="74"/>
      <c r="EX66" s="74"/>
      <c r="EZ66" s="80" t="s">
        <v>943</v>
      </c>
      <c r="FE66" s="97">
        <f t="shared" si="32"/>
        <v>0</v>
      </c>
      <c r="FF66" s="80">
        <v>1.0</v>
      </c>
      <c r="FG66" s="80">
        <v>1.0</v>
      </c>
      <c r="FH66" s="80">
        <v>0.0</v>
      </c>
      <c r="FI66" s="61">
        <f t="shared" si="263"/>
        <v>2</v>
      </c>
      <c r="FJ66" s="80">
        <v>0.0</v>
      </c>
      <c r="FK66" s="80">
        <v>0.0</v>
      </c>
      <c r="FL66" s="80" t="s">
        <v>189</v>
      </c>
      <c r="FM66" s="61" t="str">
        <f t="shared" si="264"/>
        <v>1</v>
      </c>
      <c r="FN66" s="61">
        <f t="shared" si="265"/>
        <v>0</v>
      </c>
      <c r="FP66" s="80" t="s">
        <v>217</v>
      </c>
      <c r="FQ66" s="61" t="str">
        <f t="shared" si="287"/>
        <v/>
      </c>
      <c r="FR66" s="80" t="s">
        <v>217</v>
      </c>
      <c r="FT66" s="61" t="str">
        <f t="shared" si="288"/>
        <v/>
      </c>
      <c r="FU66" s="61" t="str">
        <f t="shared" si="289"/>
        <v/>
      </c>
      <c r="FV66" s="74"/>
      <c r="GD66" s="80" t="s">
        <v>217</v>
      </c>
      <c r="GL66" s="80" t="s">
        <v>944</v>
      </c>
      <c r="GN66" s="80">
        <v>4.0</v>
      </c>
      <c r="GO66" s="80" t="s">
        <v>945</v>
      </c>
      <c r="GP66" s="112">
        <v>42854.0</v>
      </c>
      <c r="GQ66" s="80" t="s">
        <v>946</v>
      </c>
      <c r="GT66" s="80" t="s">
        <v>217</v>
      </c>
      <c r="GU66" s="61" t="str">
        <f t="shared" si="36"/>
        <v/>
      </c>
      <c r="GV66" s="61" t="str">
        <f t="shared" si="37"/>
        <v/>
      </c>
      <c r="GW66" s="61" t="str">
        <f t="shared" si="38"/>
        <v/>
      </c>
      <c r="GX66" s="61" t="str">
        <f t="shared" si="39"/>
        <v/>
      </c>
      <c r="GY66" s="61" t="str">
        <f t="shared" si="40"/>
        <v/>
      </c>
      <c r="GZ66" s="61" t="str">
        <f t="shared" si="41"/>
        <v/>
      </c>
      <c r="HA66" s="61" t="str">
        <f t="shared" si="42"/>
        <v/>
      </c>
      <c r="HB66" s="61" t="str">
        <f t="shared" si="43"/>
        <v/>
      </c>
      <c r="HC66" s="61" t="str">
        <f t="shared" si="44"/>
        <v/>
      </c>
      <c r="HD66" s="61" t="str">
        <f t="shared" si="45"/>
        <v/>
      </c>
      <c r="HE66" s="61" t="str">
        <f t="shared" si="46"/>
        <v/>
      </c>
      <c r="HF66" s="61" t="str">
        <f t="shared" si="47"/>
        <v/>
      </c>
      <c r="HG66" s="61" t="str">
        <f t="shared" si="48"/>
        <v/>
      </c>
      <c r="HH66" s="61" t="str">
        <f t="shared" si="49"/>
        <v/>
      </c>
      <c r="HI66" s="61" t="str">
        <f t="shared" si="50"/>
        <v/>
      </c>
      <c r="HJ66" s="61" t="str">
        <f t="shared" si="51"/>
        <v/>
      </c>
      <c r="HK66" s="61" t="str">
        <f t="shared" si="52"/>
        <v/>
      </c>
      <c r="HL66" s="61" t="str">
        <f t="shared" si="53"/>
        <v/>
      </c>
      <c r="HM66" s="61" t="str">
        <f t="shared" si="54"/>
        <v/>
      </c>
      <c r="HN66" s="61" t="str">
        <f t="shared" si="55"/>
        <v/>
      </c>
      <c r="HO66" s="61" t="str">
        <f t="shared" si="56"/>
        <v/>
      </c>
      <c r="HP66" s="61" t="str">
        <f t="shared" si="57"/>
        <v/>
      </c>
      <c r="HQ66" s="61" t="str">
        <f t="shared" si="58"/>
        <v/>
      </c>
      <c r="HR66" s="61" t="str">
        <f t="shared" si="59"/>
        <v/>
      </c>
      <c r="HS66" s="61" t="str">
        <f t="shared" si="60"/>
        <v/>
      </c>
      <c r="HT66" s="61" t="str">
        <f t="shared" si="61"/>
        <v/>
      </c>
      <c r="HU66" s="61" t="str">
        <f t="shared" si="62"/>
        <v/>
      </c>
      <c r="HV66" s="61" t="str">
        <f t="shared" si="63"/>
        <v/>
      </c>
      <c r="HW66" s="61" t="str">
        <f t="shared" si="64"/>
        <v/>
      </c>
      <c r="HX66" s="61" t="str">
        <f t="shared" si="65"/>
        <v/>
      </c>
      <c r="HY66" s="61" t="str">
        <f t="shared" si="66"/>
        <v/>
      </c>
      <c r="HZ66" s="61" t="str">
        <f t="shared" si="67"/>
        <v/>
      </c>
    </row>
    <row r="67" ht="1.5" customHeight="1">
      <c r="A67" s="49" t="s">
        <v>947</v>
      </c>
      <c r="B67" s="80" t="s">
        <v>948</v>
      </c>
      <c r="C67" s="113" t="s">
        <v>949</v>
      </c>
      <c r="D67" s="80" t="s">
        <v>209</v>
      </c>
      <c r="E67" s="107">
        <f t="shared" si="3"/>
        <v>3</v>
      </c>
      <c r="F67" s="80" t="s">
        <v>210</v>
      </c>
      <c r="G67" s="80" t="s">
        <v>211</v>
      </c>
      <c r="H67" s="80">
        <v>2008.0</v>
      </c>
      <c r="J67" s="80" t="s">
        <v>950</v>
      </c>
      <c r="K67" s="61">
        <f t="shared" si="266"/>
        <v>1</v>
      </c>
      <c r="L67" s="61" t="str">
        <f t="shared" si="267"/>
        <v/>
      </c>
      <c r="M67" s="61" t="str">
        <f t="shared" si="268"/>
        <v/>
      </c>
      <c r="N67" s="61" t="str">
        <f t="shared" si="269"/>
        <v/>
      </c>
      <c r="O67" s="61" t="str">
        <f t="shared" si="270"/>
        <v/>
      </c>
      <c r="P67" s="61" t="str">
        <f t="shared" si="271"/>
        <v/>
      </c>
      <c r="Q67" s="61" t="b">
        <f t="shared" si="261"/>
        <v>1</v>
      </c>
      <c r="R67" s="61" t="b">
        <f t="shared" si="272"/>
        <v>1</v>
      </c>
      <c r="S67" s="80">
        <v>1.0</v>
      </c>
      <c r="T67" s="80">
        <v>1.0</v>
      </c>
      <c r="U67" s="80">
        <v>1.0</v>
      </c>
      <c r="V67" s="61" t="b">
        <f t="shared" si="273"/>
        <v>1</v>
      </c>
      <c r="W67" s="80">
        <v>1.0</v>
      </c>
      <c r="X67" s="80">
        <v>1.0</v>
      </c>
      <c r="Y67" s="80">
        <v>1.0</v>
      </c>
      <c r="AA67" s="61" t="str">
        <f t="shared" si="274"/>
        <v/>
      </c>
      <c r="AB67" s="61" t="str">
        <f t="shared" si="275"/>
        <v/>
      </c>
      <c r="AC67" s="80" t="s">
        <v>951</v>
      </c>
      <c r="AD67" s="80" t="s">
        <v>266</v>
      </c>
      <c r="AF67" s="61">
        <f>countif('Charts-SLR'!A:A,AD67)</f>
        <v>1</v>
      </c>
      <c r="AG67" s="80" t="s">
        <v>267</v>
      </c>
      <c r="AH67" s="61">
        <f t="shared" si="276"/>
        <v>0</v>
      </c>
      <c r="AI67" s="80" t="s">
        <v>250</v>
      </c>
      <c r="AJ67" s="80">
        <v>32.0</v>
      </c>
      <c r="AK67" s="108">
        <f t="shared" si="277"/>
        <v>8</v>
      </c>
      <c r="AL67" s="61" t="str">
        <f t="shared" si="278"/>
        <v/>
      </c>
      <c r="AM67" s="61">
        <f t="shared" si="279"/>
        <v>32</v>
      </c>
      <c r="AN67" s="61" t="str">
        <f t="shared" si="280"/>
        <v/>
      </c>
      <c r="AO67" s="61" t="str">
        <f t="shared" si="281"/>
        <v/>
      </c>
      <c r="AP67" s="61" t="str">
        <f t="shared" si="282"/>
        <v/>
      </c>
      <c r="AQ67" s="61" t="str">
        <f t="shared" si="283"/>
        <v/>
      </c>
      <c r="AR67" s="74"/>
      <c r="AS67" s="74"/>
      <c r="AT67" s="74"/>
      <c r="AU67" s="74"/>
      <c r="AV67" s="73" t="s">
        <v>217</v>
      </c>
      <c r="AW67" s="74"/>
      <c r="AX67" s="74"/>
      <c r="AY67" s="74"/>
      <c r="AZ67" s="74"/>
      <c r="BA67" s="74"/>
      <c r="BB67" s="109" t="str">
        <f t="shared" si="106"/>
        <v/>
      </c>
      <c r="BC67" s="73" t="s">
        <v>217</v>
      </c>
      <c r="BD67" s="74"/>
      <c r="BE67" s="74"/>
      <c r="BF67" s="74"/>
      <c r="BG67" s="74"/>
      <c r="BH67" s="74"/>
      <c r="BI67" s="110">
        <f t="shared" si="284"/>
        <v>1</v>
      </c>
      <c r="BJ67" s="74"/>
      <c r="BK67" s="74"/>
      <c r="BL67" s="74"/>
      <c r="BM67" s="74"/>
      <c r="BN67" s="74"/>
      <c r="BO67" s="74"/>
      <c r="BP67" s="74"/>
      <c r="BQ67" s="73" t="s">
        <v>217</v>
      </c>
      <c r="BR67" s="74"/>
      <c r="BS67" s="74"/>
      <c r="BT67" s="74"/>
      <c r="BU67" s="74"/>
      <c r="BV67" s="73" t="s">
        <v>217</v>
      </c>
      <c r="BW67" s="74"/>
      <c r="BX67" s="74"/>
      <c r="BY67" s="74"/>
      <c r="BZ67" s="74"/>
      <c r="CA67" s="74"/>
      <c r="CB67" s="74"/>
      <c r="CC67" s="74"/>
      <c r="CD67" s="74"/>
      <c r="CE67" s="73" t="s">
        <v>217</v>
      </c>
      <c r="CF67" s="73" t="s">
        <v>952</v>
      </c>
      <c r="CG67" s="74"/>
      <c r="CH67" s="73" t="s">
        <v>217</v>
      </c>
      <c r="CI67" s="110" t="str">
        <f t="shared" si="260"/>
        <v/>
      </c>
      <c r="CJ67" s="110">
        <f t="shared" si="285"/>
        <v>2</v>
      </c>
      <c r="CK67" s="74"/>
      <c r="CL67" s="74"/>
      <c r="CM67" s="73" t="s">
        <v>217</v>
      </c>
      <c r="CN67" s="74"/>
      <c r="CO67" s="74"/>
      <c r="CP67" s="74"/>
      <c r="CQ67" s="74"/>
      <c r="CR67" s="80" t="s">
        <v>217</v>
      </c>
      <c r="DF67" s="80" t="s">
        <v>953</v>
      </c>
      <c r="DG67" s="61">
        <f t="shared" si="108"/>
        <v>1</v>
      </c>
      <c r="DL67" s="114" t="s">
        <v>217</v>
      </c>
      <c r="DM67" s="61">
        <f t="shared" si="286"/>
        <v>1</v>
      </c>
      <c r="DO67" s="80" t="s">
        <v>217</v>
      </c>
      <c r="DP67" s="61" t="str">
        <f t="shared" si="109"/>
        <v/>
      </c>
      <c r="DQ67" s="61" t="str">
        <f t="shared" si="110"/>
        <v/>
      </c>
      <c r="DR67" s="61" t="str">
        <f t="shared" si="111"/>
        <v>FA</v>
      </c>
      <c r="DS67" s="74"/>
      <c r="DT67" s="74"/>
      <c r="DU67" s="74"/>
      <c r="DV67" s="74"/>
      <c r="DW67" s="73" t="s">
        <v>217</v>
      </c>
      <c r="DX67" s="74"/>
      <c r="DY67" s="110">
        <f t="shared" si="29"/>
        <v>1</v>
      </c>
      <c r="DZ67" s="74"/>
      <c r="EA67" s="73" t="s">
        <v>217</v>
      </c>
      <c r="EB67" s="73" t="s">
        <v>217</v>
      </c>
      <c r="EC67" s="74"/>
      <c r="ED67" s="74"/>
      <c r="EE67" s="110">
        <f t="shared" si="30"/>
        <v>2</v>
      </c>
      <c r="EF67" s="110" t="str">
        <f t="shared" si="70"/>
        <v>x</v>
      </c>
      <c r="EG67" s="61" t="str">
        <f t="shared" si="31"/>
        <v/>
      </c>
      <c r="EI67" s="80" t="s">
        <v>954</v>
      </c>
      <c r="EJ67" s="74"/>
      <c r="EK67" s="74"/>
      <c r="EL67" s="74"/>
      <c r="EM67" s="73" t="s">
        <v>217</v>
      </c>
      <c r="EN67" s="80" t="s">
        <v>217</v>
      </c>
      <c r="ES67" s="80" t="s">
        <v>955</v>
      </c>
      <c r="ET67" s="73">
        <v>0.0</v>
      </c>
      <c r="EU67" s="74"/>
      <c r="EV67" s="74"/>
      <c r="EW67" s="74"/>
      <c r="EX67" s="74"/>
      <c r="EZ67" s="80" t="s">
        <v>956</v>
      </c>
      <c r="FA67" s="80" t="s">
        <v>957</v>
      </c>
      <c r="FD67" s="80" t="s">
        <v>958</v>
      </c>
      <c r="FE67" s="97">
        <f t="shared" si="32"/>
        <v>2</v>
      </c>
      <c r="FF67" s="80">
        <v>1.0</v>
      </c>
      <c r="FG67" s="80">
        <v>1.0</v>
      </c>
      <c r="FH67" s="80">
        <v>1.0</v>
      </c>
      <c r="FI67" s="61">
        <f t="shared" si="263"/>
        <v>3</v>
      </c>
      <c r="FJ67" s="80">
        <v>1.0</v>
      </c>
      <c r="FK67" s="80">
        <v>0.0</v>
      </c>
      <c r="FL67" s="80">
        <v>0.0</v>
      </c>
      <c r="FM67" s="61" t="str">
        <f t="shared" si="264"/>
        <v>1</v>
      </c>
      <c r="FN67" s="61">
        <f>SUM.LEGACY(FJ67:FM67)</f>
        <v>2</v>
      </c>
      <c r="FP67" s="80" t="s">
        <v>217</v>
      </c>
      <c r="FQ67" s="61" t="str">
        <f t="shared" si="287"/>
        <v/>
      </c>
      <c r="FR67" s="80" t="s">
        <v>217</v>
      </c>
      <c r="FT67" s="61" t="str">
        <f t="shared" si="288"/>
        <v/>
      </c>
      <c r="FU67" s="61" t="str">
        <f t="shared" si="289"/>
        <v/>
      </c>
      <c r="FV67" s="74"/>
      <c r="FZ67" s="80" t="s">
        <v>217</v>
      </c>
      <c r="GD67" s="80" t="s">
        <v>217</v>
      </c>
      <c r="GN67" s="80">
        <v>3.0</v>
      </c>
      <c r="GO67" s="80" t="s">
        <v>959</v>
      </c>
      <c r="GP67" s="116">
        <f>7615+9401+999</f>
        <v>18015</v>
      </c>
      <c r="GQ67" s="80" t="s">
        <v>960</v>
      </c>
      <c r="GS67" s="80" t="s">
        <v>217</v>
      </c>
      <c r="GU67" s="61" t="str">
        <f t="shared" si="36"/>
        <v/>
      </c>
      <c r="GV67" s="61" t="str">
        <f t="shared" si="37"/>
        <v/>
      </c>
      <c r="GW67" s="61" t="str">
        <f t="shared" si="38"/>
        <v/>
      </c>
      <c r="GX67" s="61" t="str">
        <f t="shared" si="39"/>
        <v/>
      </c>
      <c r="GY67" s="61" t="str">
        <f t="shared" si="40"/>
        <v/>
      </c>
      <c r="GZ67" s="61" t="str">
        <f t="shared" si="41"/>
        <v/>
      </c>
      <c r="HA67" s="61" t="str">
        <f t="shared" si="42"/>
        <v/>
      </c>
      <c r="HB67" s="61" t="str">
        <f t="shared" si="43"/>
        <v/>
      </c>
      <c r="HC67" s="61" t="str">
        <f t="shared" si="44"/>
        <v/>
      </c>
      <c r="HD67" s="61" t="str">
        <f t="shared" si="45"/>
        <v/>
      </c>
      <c r="HE67" s="61" t="str">
        <f t="shared" si="46"/>
        <v/>
      </c>
      <c r="HF67" s="61" t="str">
        <f t="shared" si="47"/>
        <v/>
      </c>
      <c r="HG67" s="61" t="str">
        <f t="shared" si="48"/>
        <v/>
      </c>
      <c r="HH67" s="61" t="str">
        <f t="shared" si="49"/>
        <v/>
      </c>
      <c r="HI67" s="61" t="str">
        <f t="shared" si="50"/>
        <v/>
      </c>
      <c r="HJ67" s="61" t="str">
        <f t="shared" si="51"/>
        <v/>
      </c>
      <c r="HK67" s="61" t="str">
        <f t="shared" si="52"/>
        <v/>
      </c>
      <c r="HL67" s="61" t="str">
        <f t="shared" si="53"/>
        <v/>
      </c>
      <c r="HM67" s="61" t="str">
        <f t="shared" si="54"/>
        <v/>
      </c>
      <c r="HN67" s="61" t="str">
        <f t="shared" si="55"/>
        <v/>
      </c>
      <c r="HO67" s="61" t="str">
        <f t="shared" si="56"/>
        <v/>
      </c>
      <c r="HP67" s="61" t="str">
        <f t="shared" si="57"/>
        <v/>
      </c>
      <c r="HQ67" s="61" t="str">
        <f t="shared" si="58"/>
        <v/>
      </c>
      <c r="HR67" s="61" t="str">
        <f t="shared" si="59"/>
        <v/>
      </c>
      <c r="HS67" s="61" t="str">
        <f t="shared" si="60"/>
        <v/>
      </c>
      <c r="HT67" s="61" t="str">
        <f t="shared" si="61"/>
        <v/>
      </c>
      <c r="HU67" s="61" t="str">
        <f t="shared" si="62"/>
        <v/>
      </c>
      <c r="HV67" s="61" t="str">
        <f t="shared" si="63"/>
        <v/>
      </c>
      <c r="HW67" s="61" t="str">
        <f t="shared" si="64"/>
        <v/>
      </c>
      <c r="HX67" s="61" t="str">
        <f t="shared" si="65"/>
        <v/>
      </c>
      <c r="HY67" s="61" t="str">
        <f t="shared" si="66"/>
        <v/>
      </c>
      <c r="HZ67" s="61" t="str">
        <f t="shared" si="67"/>
        <v/>
      </c>
    </row>
    <row r="68" ht="1.5" customHeight="1">
      <c r="A68" s="49" t="s">
        <v>961</v>
      </c>
      <c r="B68" s="80" t="s">
        <v>962</v>
      </c>
      <c r="C68" s="113" t="s">
        <v>963</v>
      </c>
      <c r="D68" s="80" t="s">
        <v>210</v>
      </c>
      <c r="E68" s="107">
        <f t="shared" si="3"/>
        <v>3</v>
      </c>
      <c r="F68" s="80" t="s">
        <v>209</v>
      </c>
      <c r="G68" s="80" t="s">
        <v>211</v>
      </c>
      <c r="H68" s="80">
        <v>2010.0</v>
      </c>
      <c r="J68" s="80" t="s">
        <v>964</v>
      </c>
      <c r="K68" s="61" t="str">
        <f t="shared" si="266"/>
        <v/>
      </c>
      <c r="L68" s="61" t="str">
        <f t="shared" si="267"/>
        <v/>
      </c>
      <c r="M68" s="61">
        <f t="shared" si="268"/>
        <v>1</v>
      </c>
      <c r="N68" s="61" t="str">
        <f t="shared" si="269"/>
        <v/>
      </c>
      <c r="O68" s="61" t="str">
        <f t="shared" si="270"/>
        <v/>
      </c>
      <c r="P68" s="61" t="str">
        <f t="shared" si="271"/>
        <v/>
      </c>
      <c r="Q68" s="61" t="b">
        <f t="shared" si="261"/>
        <v>1</v>
      </c>
      <c r="R68" s="61" t="b">
        <f t="shared" si="272"/>
        <v>1</v>
      </c>
      <c r="S68" s="80">
        <v>1.0</v>
      </c>
      <c r="T68" s="80">
        <v>1.0</v>
      </c>
      <c r="U68" s="80">
        <v>1.0</v>
      </c>
      <c r="V68" s="61" t="b">
        <f t="shared" si="273"/>
        <v>1</v>
      </c>
      <c r="W68" s="80">
        <v>1.0</v>
      </c>
      <c r="X68" s="80">
        <v>1.0</v>
      </c>
      <c r="Y68" s="80">
        <v>1.0</v>
      </c>
      <c r="AA68" s="61" t="str">
        <f t="shared" si="274"/>
        <v/>
      </c>
      <c r="AB68" s="61" t="str">
        <f t="shared" si="275"/>
        <v>Roest:2010.icst, </v>
      </c>
      <c r="AC68" s="114" t="s">
        <v>965</v>
      </c>
      <c r="AD68" s="80" t="s">
        <v>766</v>
      </c>
      <c r="AF68" s="61">
        <f>countif('Charts-SLR'!A:A,AD68)</f>
        <v>1</v>
      </c>
      <c r="AG68" s="80" t="s">
        <v>267</v>
      </c>
      <c r="AH68" s="61">
        <f t="shared" si="276"/>
        <v>0</v>
      </c>
      <c r="AI68" s="80" t="s">
        <v>250</v>
      </c>
      <c r="AJ68" s="80">
        <v>12.0</v>
      </c>
      <c r="AK68" s="108">
        <f t="shared" si="277"/>
        <v>6</v>
      </c>
      <c r="AL68" s="61" t="str">
        <f t="shared" si="278"/>
        <v/>
      </c>
      <c r="AM68" s="61">
        <f t="shared" si="279"/>
        <v>12</v>
      </c>
      <c r="AN68" s="61" t="str">
        <f t="shared" si="280"/>
        <v/>
      </c>
      <c r="AO68" s="61" t="str">
        <f t="shared" si="281"/>
        <v/>
      </c>
      <c r="AP68" s="61" t="str">
        <f t="shared" si="282"/>
        <v/>
      </c>
      <c r="AQ68" s="61" t="str">
        <f t="shared" si="283"/>
        <v/>
      </c>
      <c r="AR68" s="74"/>
      <c r="AS68" s="74"/>
      <c r="AT68" s="74"/>
      <c r="AU68" s="73" t="s">
        <v>217</v>
      </c>
      <c r="AV68" s="74"/>
      <c r="AW68" s="74"/>
      <c r="AX68" s="73" t="s">
        <v>217</v>
      </c>
      <c r="AY68" s="74"/>
      <c r="AZ68" s="74"/>
      <c r="BA68" s="74"/>
      <c r="BB68" s="109" t="str">
        <f t="shared" si="106"/>
        <v/>
      </c>
      <c r="BC68" s="73" t="s">
        <v>217</v>
      </c>
      <c r="BD68" s="73" t="s">
        <v>217</v>
      </c>
      <c r="BE68" s="73" t="s">
        <v>217</v>
      </c>
      <c r="BF68" s="74"/>
      <c r="BG68" s="74"/>
      <c r="BH68" s="74"/>
      <c r="BI68" s="110">
        <f t="shared" si="284"/>
        <v>3</v>
      </c>
      <c r="BJ68" s="74"/>
      <c r="BK68" s="74"/>
      <c r="BL68" s="73" t="s">
        <v>217</v>
      </c>
      <c r="BM68" s="74"/>
      <c r="BN68" s="73" t="s">
        <v>218</v>
      </c>
      <c r="BO68" s="74"/>
      <c r="BP68" s="74"/>
      <c r="BQ68" s="73" t="s">
        <v>217</v>
      </c>
      <c r="BR68" s="74"/>
      <c r="BS68" s="74"/>
      <c r="BT68" s="74"/>
      <c r="BU68" s="74"/>
      <c r="BV68" s="73" t="s">
        <v>217</v>
      </c>
      <c r="BW68" s="74"/>
      <c r="BX68" s="74"/>
      <c r="BY68" s="73" t="s">
        <v>217</v>
      </c>
      <c r="BZ68" s="74"/>
      <c r="CA68" s="73" t="s">
        <v>217</v>
      </c>
      <c r="CB68" s="73" t="s">
        <v>217</v>
      </c>
      <c r="CC68" s="73" t="s">
        <v>217</v>
      </c>
      <c r="CD68" s="74"/>
      <c r="CE68" s="74"/>
      <c r="CF68" s="74"/>
      <c r="CG68" s="73" t="s">
        <v>217</v>
      </c>
      <c r="CH68" s="74"/>
      <c r="CI68" s="110" t="str">
        <f t="shared" si="260"/>
        <v/>
      </c>
      <c r="CJ68" s="110">
        <f t="shared" si="285"/>
        <v>1</v>
      </c>
      <c r="CK68" s="73" t="s">
        <v>217</v>
      </c>
      <c r="CL68" s="74"/>
      <c r="CM68" s="74"/>
      <c r="CN68" s="74"/>
      <c r="CO68" s="74"/>
      <c r="CP68" s="74"/>
      <c r="CQ68" s="74"/>
      <c r="CS68" s="80" t="s">
        <v>217</v>
      </c>
      <c r="CZ68" s="80" t="s">
        <v>217</v>
      </c>
      <c r="DG68" s="61">
        <f t="shared" si="108"/>
        <v>1</v>
      </c>
      <c r="DH68" s="80" t="s">
        <v>217</v>
      </c>
      <c r="DK68" s="80" t="s">
        <v>217</v>
      </c>
      <c r="DM68" s="61">
        <f t="shared" si="286"/>
        <v>2</v>
      </c>
      <c r="DO68" s="80" t="s">
        <v>217</v>
      </c>
      <c r="DP68" s="61" t="str">
        <f t="shared" si="109"/>
        <v/>
      </c>
      <c r="DQ68" s="61" t="str">
        <f t="shared" si="110"/>
        <v/>
      </c>
      <c r="DR68" s="61" t="str">
        <f t="shared" si="111"/>
        <v>FA</v>
      </c>
      <c r="DS68" s="74"/>
      <c r="DT68" s="74"/>
      <c r="DU68" s="74"/>
      <c r="DV68" s="74"/>
      <c r="DW68" s="74"/>
      <c r="DX68" s="73" t="s">
        <v>966</v>
      </c>
      <c r="DY68" s="110">
        <f t="shared" si="29"/>
        <v>1</v>
      </c>
      <c r="DZ68" s="74"/>
      <c r="EA68" s="74"/>
      <c r="EB68" s="74"/>
      <c r="EC68" s="74"/>
      <c r="ED68" s="74"/>
      <c r="EE68" s="110">
        <f t="shared" si="30"/>
        <v>0</v>
      </c>
      <c r="EF68" s="110" t="str">
        <f t="shared" si="70"/>
        <v/>
      </c>
      <c r="EG68" s="61" t="str">
        <f t="shared" si="31"/>
        <v/>
      </c>
      <c r="EI68" s="80" t="s">
        <v>967</v>
      </c>
      <c r="EJ68" s="74"/>
      <c r="EK68" s="74"/>
      <c r="EL68" s="74"/>
      <c r="EM68" s="74"/>
      <c r="EO68" s="80" t="s">
        <v>217</v>
      </c>
      <c r="ES68" s="80" t="s">
        <v>968</v>
      </c>
      <c r="ET68" s="73">
        <v>3.0</v>
      </c>
      <c r="EU68" s="74"/>
      <c r="EV68" s="74"/>
      <c r="EW68" s="74"/>
      <c r="EX68" s="74"/>
      <c r="EZ68" s="80" t="s">
        <v>969</v>
      </c>
      <c r="FA68" s="80" t="s">
        <v>970</v>
      </c>
      <c r="FD68" s="80" t="s">
        <v>256</v>
      </c>
      <c r="FE68" s="97">
        <f t="shared" si="32"/>
        <v>2</v>
      </c>
      <c r="FF68" s="80">
        <v>1.0</v>
      </c>
      <c r="FG68" s="80">
        <v>1.0</v>
      </c>
      <c r="FH68" s="80">
        <v>1.0</v>
      </c>
      <c r="FI68" s="61">
        <f t="shared" si="263"/>
        <v>3</v>
      </c>
      <c r="FJ68" s="80">
        <v>0.0</v>
      </c>
      <c r="FK68" s="80">
        <v>0.0</v>
      </c>
      <c r="FL68" s="80" t="s">
        <v>189</v>
      </c>
      <c r="FM68" s="61" t="str">
        <f t="shared" si="264"/>
        <v>1</v>
      </c>
      <c r="FN68" s="61">
        <f t="shared" ref="FN68:FN71" si="290">sum(FJ68:FM68)</f>
        <v>0</v>
      </c>
      <c r="FP68" s="80" t="s">
        <v>217</v>
      </c>
      <c r="FQ68" s="61" t="str">
        <f t="shared" si="287"/>
        <v/>
      </c>
      <c r="FS68" s="80" t="s">
        <v>217</v>
      </c>
      <c r="FT68" s="61" t="str">
        <f t="shared" si="288"/>
        <v/>
      </c>
      <c r="FU68" s="61" t="str">
        <f t="shared" si="289"/>
        <v/>
      </c>
      <c r="FV68" s="74"/>
      <c r="FX68" s="80" t="s">
        <v>217</v>
      </c>
      <c r="FY68" s="80" t="s">
        <v>217</v>
      </c>
      <c r="GI68" s="80" t="s">
        <v>217</v>
      </c>
      <c r="GL68" s="80" t="s">
        <v>971</v>
      </c>
      <c r="GM68" s="80" t="s">
        <v>217</v>
      </c>
      <c r="GN68" s="80">
        <v>2.0</v>
      </c>
      <c r="GO68" s="80" t="s">
        <v>972</v>
      </c>
      <c r="GP68" s="112">
        <v>17016.0</v>
      </c>
      <c r="GQ68" s="80" t="s">
        <v>973</v>
      </c>
      <c r="GS68" s="80" t="s">
        <v>217</v>
      </c>
      <c r="GT68" s="80" t="s">
        <v>217</v>
      </c>
      <c r="GU68" s="61" t="str">
        <f t="shared" si="36"/>
        <v/>
      </c>
      <c r="GV68" s="61" t="str">
        <f t="shared" si="37"/>
        <v/>
      </c>
      <c r="GW68" s="61" t="str">
        <f t="shared" si="38"/>
        <v/>
      </c>
      <c r="GX68" s="61" t="str">
        <f t="shared" si="39"/>
        <v/>
      </c>
      <c r="GY68" s="61" t="str">
        <f t="shared" si="40"/>
        <v>x</v>
      </c>
      <c r="GZ68" s="61" t="str">
        <f t="shared" si="41"/>
        <v/>
      </c>
      <c r="HA68" s="61" t="str">
        <f t="shared" si="42"/>
        <v/>
      </c>
      <c r="HB68" s="61" t="str">
        <f t="shared" si="43"/>
        <v/>
      </c>
      <c r="HC68" s="61" t="str">
        <f t="shared" si="44"/>
        <v/>
      </c>
      <c r="HD68" s="61" t="str">
        <f t="shared" si="45"/>
        <v/>
      </c>
      <c r="HE68" s="61" t="str">
        <f t="shared" si="46"/>
        <v/>
      </c>
      <c r="HF68" s="61" t="str">
        <f t="shared" si="47"/>
        <v/>
      </c>
      <c r="HG68" s="61" t="str">
        <f t="shared" si="48"/>
        <v/>
      </c>
      <c r="HH68" s="61" t="str">
        <f t="shared" si="49"/>
        <v/>
      </c>
      <c r="HI68" s="61" t="str">
        <f t="shared" si="50"/>
        <v/>
      </c>
      <c r="HJ68" s="61" t="str">
        <f t="shared" si="51"/>
        <v>x</v>
      </c>
      <c r="HK68" s="61" t="str">
        <f t="shared" si="52"/>
        <v/>
      </c>
      <c r="HL68" s="61" t="str">
        <f t="shared" si="53"/>
        <v/>
      </c>
      <c r="HM68" s="61" t="str">
        <f t="shared" si="54"/>
        <v/>
      </c>
      <c r="HN68" s="61" t="str">
        <f t="shared" si="55"/>
        <v/>
      </c>
      <c r="HO68" s="61" t="str">
        <f t="shared" si="56"/>
        <v/>
      </c>
      <c r="HP68" s="61" t="str">
        <f t="shared" si="57"/>
        <v/>
      </c>
      <c r="HQ68" s="61" t="str">
        <f t="shared" si="58"/>
        <v/>
      </c>
      <c r="HR68" s="61" t="str">
        <f t="shared" si="59"/>
        <v/>
      </c>
      <c r="HS68" s="61" t="str">
        <f t="shared" si="60"/>
        <v/>
      </c>
      <c r="HT68" s="61" t="str">
        <f t="shared" si="61"/>
        <v>x</v>
      </c>
      <c r="HU68" s="61" t="str">
        <f t="shared" si="62"/>
        <v/>
      </c>
      <c r="HV68" s="61" t="str">
        <f t="shared" si="63"/>
        <v/>
      </c>
      <c r="HW68" s="61" t="str">
        <f t="shared" si="64"/>
        <v>x</v>
      </c>
      <c r="HX68" s="61" t="str">
        <f t="shared" si="65"/>
        <v/>
      </c>
      <c r="HY68" s="61" t="str">
        <f t="shared" si="66"/>
        <v/>
      </c>
      <c r="HZ68" s="61" t="str">
        <f t="shared" si="67"/>
        <v/>
      </c>
    </row>
    <row r="69" ht="1.5" customHeight="1">
      <c r="A69" s="49" t="s">
        <v>974</v>
      </c>
      <c r="B69" s="80" t="s">
        <v>975</v>
      </c>
      <c r="C69" s="113" t="s">
        <v>976</v>
      </c>
      <c r="D69" s="80" t="s">
        <v>245</v>
      </c>
      <c r="E69" s="107">
        <f t="shared" si="3"/>
        <v>2</v>
      </c>
      <c r="F69" s="80" t="s">
        <v>210</v>
      </c>
      <c r="G69" s="80" t="s">
        <v>211</v>
      </c>
      <c r="H69" s="80">
        <v>2010.0</v>
      </c>
      <c r="J69" s="80" t="s">
        <v>977</v>
      </c>
      <c r="K69" s="61" t="str">
        <f t="shared" si="266"/>
        <v/>
      </c>
      <c r="L69" s="61" t="str">
        <f t="shared" si="267"/>
        <v/>
      </c>
      <c r="M69" s="61" t="str">
        <f t="shared" si="268"/>
        <v/>
      </c>
      <c r="N69" s="61" t="str">
        <f t="shared" si="269"/>
        <v/>
      </c>
      <c r="O69" s="61">
        <f t="shared" si="270"/>
        <v>1</v>
      </c>
      <c r="P69" s="61" t="str">
        <f t="shared" si="271"/>
        <v/>
      </c>
      <c r="Q69" s="61" t="b">
        <f t="shared" si="261"/>
        <v>1</v>
      </c>
      <c r="R69" s="61" t="b">
        <f t="shared" si="272"/>
        <v>1</v>
      </c>
      <c r="S69" s="80">
        <v>1.0</v>
      </c>
      <c r="T69" s="80">
        <v>1.0</v>
      </c>
      <c r="U69" s="80">
        <v>1.0</v>
      </c>
      <c r="V69" s="61" t="b">
        <f t="shared" si="273"/>
        <v>1</v>
      </c>
      <c r="W69" s="80">
        <v>1.0</v>
      </c>
      <c r="X69" s="80">
        <v>1.0</v>
      </c>
      <c r="Y69" s="80">
        <v>1.0</v>
      </c>
      <c r="AA69" s="61" t="str">
        <f t="shared" si="274"/>
        <v/>
      </c>
      <c r="AB69" s="61" t="str">
        <f t="shared" si="275"/>
        <v/>
      </c>
      <c r="AC69" s="114" t="s">
        <v>978</v>
      </c>
      <c r="AD69" s="80" t="s">
        <v>214</v>
      </c>
      <c r="AF69" s="61">
        <f>countif('Charts-SLR'!A:A,AD69)</f>
        <v>1</v>
      </c>
      <c r="AG69" s="80" t="s">
        <v>979</v>
      </c>
      <c r="AH69" s="61">
        <f t="shared" si="276"/>
        <v>0</v>
      </c>
      <c r="AI69" s="80" t="s">
        <v>216</v>
      </c>
      <c r="AJ69" s="80">
        <v>3.0</v>
      </c>
      <c r="AK69" s="108">
        <f t="shared" si="277"/>
        <v>1.5</v>
      </c>
      <c r="AL69" s="61" t="str">
        <f t="shared" si="278"/>
        <v/>
      </c>
      <c r="AM69" s="61" t="str">
        <f t="shared" si="279"/>
        <v/>
      </c>
      <c r="AN69" s="61">
        <f t="shared" si="280"/>
        <v>3</v>
      </c>
      <c r="AO69" s="61" t="str">
        <f t="shared" si="281"/>
        <v/>
      </c>
      <c r="AP69" s="61" t="str">
        <f t="shared" si="282"/>
        <v/>
      </c>
      <c r="AQ69" s="61" t="str">
        <f t="shared" si="283"/>
        <v/>
      </c>
      <c r="AR69" s="74"/>
      <c r="AS69" s="74"/>
      <c r="AT69" s="74"/>
      <c r="AU69" s="74"/>
      <c r="AV69" s="73" t="s">
        <v>217</v>
      </c>
      <c r="AW69" s="74"/>
      <c r="AX69" s="74"/>
      <c r="AY69" s="74"/>
      <c r="AZ69" s="74"/>
      <c r="BA69" s="74"/>
      <c r="BB69" s="109" t="str">
        <f t="shared" si="106"/>
        <v/>
      </c>
      <c r="BC69" s="73" t="s">
        <v>217</v>
      </c>
      <c r="BD69" s="73" t="s">
        <v>217</v>
      </c>
      <c r="BE69" s="74"/>
      <c r="BF69" s="74"/>
      <c r="BG69" s="74"/>
      <c r="BH69" s="74"/>
      <c r="BI69" s="110">
        <f t="shared" si="284"/>
        <v>2</v>
      </c>
      <c r="BJ69" s="74"/>
      <c r="BK69" s="74"/>
      <c r="BL69" s="74"/>
      <c r="BM69" s="74"/>
      <c r="BN69" s="74"/>
      <c r="BO69" s="74"/>
      <c r="BP69" s="73" t="s">
        <v>217</v>
      </c>
      <c r="BQ69" s="74"/>
      <c r="BR69" s="74"/>
      <c r="BS69" s="74"/>
      <c r="BT69" s="74"/>
      <c r="BU69" s="74"/>
      <c r="BV69" s="73" t="s">
        <v>217</v>
      </c>
      <c r="BW69" s="74"/>
      <c r="BX69" s="73" t="s">
        <v>217</v>
      </c>
      <c r="BY69" s="73" t="s">
        <v>217</v>
      </c>
      <c r="BZ69" s="74"/>
      <c r="CA69" s="74"/>
      <c r="CB69" s="74"/>
      <c r="CC69" s="74"/>
      <c r="CD69" s="73" t="s">
        <v>217</v>
      </c>
      <c r="CE69" s="74"/>
      <c r="CF69" s="74"/>
      <c r="CG69" s="73" t="s">
        <v>217</v>
      </c>
      <c r="CH69" s="74"/>
      <c r="CI69" s="110" t="str">
        <f t="shared" si="260"/>
        <v/>
      </c>
      <c r="CJ69" s="110">
        <f t="shared" si="285"/>
        <v>1</v>
      </c>
      <c r="CK69" s="73" t="s">
        <v>217</v>
      </c>
      <c r="CL69" s="74"/>
      <c r="CM69" s="74"/>
      <c r="CN69" s="74"/>
      <c r="CO69" s="74"/>
      <c r="CP69" s="74"/>
      <c r="CQ69" s="74"/>
      <c r="CS69" s="80" t="s">
        <v>217</v>
      </c>
      <c r="CT69" s="80" t="s">
        <v>217</v>
      </c>
      <c r="CZ69" s="80" t="s">
        <v>217</v>
      </c>
      <c r="DG69" s="61">
        <f t="shared" si="108"/>
        <v>1</v>
      </c>
      <c r="DH69" s="80" t="s">
        <v>217</v>
      </c>
      <c r="DM69" s="61">
        <f t="shared" si="286"/>
        <v>1</v>
      </c>
      <c r="DN69" s="80" t="s">
        <v>217</v>
      </c>
      <c r="DO69" s="80" t="s">
        <v>217</v>
      </c>
      <c r="DP69" s="61" t="str">
        <f t="shared" si="109"/>
        <v>both</v>
      </c>
      <c r="DQ69" s="61" t="str">
        <f t="shared" si="110"/>
        <v/>
      </c>
      <c r="DR69" s="61" t="str">
        <f t="shared" si="111"/>
        <v/>
      </c>
      <c r="DS69" s="73" t="s">
        <v>980</v>
      </c>
      <c r="DT69" s="73" t="s">
        <v>220</v>
      </c>
      <c r="DU69" s="74"/>
      <c r="DV69" s="74"/>
      <c r="DW69" s="73" t="s">
        <v>217</v>
      </c>
      <c r="DX69" s="74"/>
      <c r="DY69" s="110">
        <f t="shared" si="29"/>
        <v>3</v>
      </c>
      <c r="DZ69" s="74"/>
      <c r="EA69" s="74"/>
      <c r="EB69" s="73" t="s">
        <v>217</v>
      </c>
      <c r="EC69" s="74"/>
      <c r="ED69" s="74"/>
      <c r="EE69" s="110">
        <f t="shared" si="30"/>
        <v>1</v>
      </c>
      <c r="EF69" s="110" t="str">
        <f t="shared" si="70"/>
        <v>x</v>
      </c>
      <c r="EG69" s="61" t="str">
        <f t="shared" si="31"/>
        <v/>
      </c>
      <c r="EI69" s="80" t="s">
        <v>981</v>
      </c>
      <c r="EJ69" s="74"/>
      <c r="EK69" s="74"/>
      <c r="EL69" s="74"/>
      <c r="EM69" s="74"/>
      <c r="EN69" s="80" t="s">
        <v>217</v>
      </c>
      <c r="ES69" s="80" t="s">
        <v>982</v>
      </c>
      <c r="ET69" s="73">
        <v>2.0</v>
      </c>
      <c r="EU69" s="74"/>
      <c r="EV69" s="74"/>
      <c r="EW69" s="74"/>
      <c r="EX69" s="74"/>
      <c r="EZ69" s="80" t="s">
        <v>983</v>
      </c>
      <c r="FE69" s="97">
        <f t="shared" si="32"/>
        <v>0</v>
      </c>
      <c r="FF69" s="80">
        <v>1.0</v>
      </c>
      <c r="FG69" s="80">
        <v>1.0</v>
      </c>
      <c r="FH69" s="80">
        <v>0.0</v>
      </c>
      <c r="FI69" s="61">
        <f t="shared" si="263"/>
        <v>2</v>
      </c>
      <c r="FJ69" s="80">
        <v>0.0</v>
      </c>
      <c r="FK69" s="80">
        <v>0.0</v>
      </c>
      <c r="FL69" s="80" t="s">
        <v>189</v>
      </c>
      <c r="FM69" s="61" t="str">
        <f t="shared" si="264"/>
        <v>1</v>
      </c>
      <c r="FN69" s="61">
        <f t="shared" si="290"/>
        <v>0</v>
      </c>
      <c r="FP69" s="80" t="s">
        <v>217</v>
      </c>
      <c r="FQ69" s="61" t="str">
        <f t="shared" si="287"/>
        <v/>
      </c>
      <c r="FS69" s="80" t="s">
        <v>217</v>
      </c>
      <c r="FT69" s="61" t="str">
        <f t="shared" si="288"/>
        <v/>
      </c>
      <c r="FU69" s="61" t="str">
        <f t="shared" si="289"/>
        <v/>
      </c>
      <c r="FV69" s="74"/>
      <c r="FX69" s="80" t="s">
        <v>217</v>
      </c>
      <c r="GD69" s="80" t="s">
        <v>217</v>
      </c>
      <c r="GL69" s="80" t="s">
        <v>984</v>
      </c>
      <c r="GM69" s="80" t="s">
        <v>217</v>
      </c>
      <c r="GN69" s="80">
        <v>1.0</v>
      </c>
      <c r="GO69" s="80" t="s">
        <v>985</v>
      </c>
      <c r="GP69" s="112">
        <v>10000.0</v>
      </c>
      <c r="GS69" s="80" t="s">
        <v>217</v>
      </c>
      <c r="GU69" s="61" t="str">
        <f t="shared" si="36"/>
        <v/>
      </c>
      <c r="GV69" s="61" t="str">
        <f t="shared" si="37"/>
        <v/>
      </c>
      <c r="GW69" s="61" t="str">
        <f t="shared" si="38"/>
        <v/>
      </c>
      <c r="GX69" s="61" t="str">
        <f t="shared" si="39"/>
        <v/>
      </c>
      <c r="GY69" s="61" t="str">
        <f t="shared" si="40"/>
        <v>x</v>
      </c>
      <c r="GZ69" s="61" t="str">
        <f t="shared" si="41"/>
        <v/>
      </c>
      <c r="HA69" s="61" t="str">
        <f t="shared" si="42"/>
        <v/>
      </c>
      <c r="HB69" s="61" t="str">
        <f t="shared" si="43"/>
        <v/>
      </c>
      <c r="HC69" s="61" t="str">
        <f t="shared" si="44"/>
        <v/>
      </c>
      <c r="HD69" s="61" t="str">
        <f t="shared" si="45"/>
        <v/>
      </c>
      <c r="HE69" s="61" t="str">
        <f t="shared" si="46"/>
        <v/>
      </c>
      <c r="HF69" s="61" t="str">
        <f t="shared" si="47"/>
        <v/>
      </c>
      <c r="HG69" s="61" t="str">
        <f t="shared" si="48"/>
        <v/>
      </c>
      <c r="HH69" s="61" t="str">
        <f t="shared" si="49"/>
        <v/>
      </c>
      <c r="HI69" s="61" t="str">
        <f t="shared" si="50"/>
        <v/>
      </c>
      <c r="HJ69" s="61" t="str">
        <f t="shared" si="51"/>
        <v>x</v>
      </c>
      <c r="HK69" s="61" t="str">
        <f t="shared" si="52"/>
        <v/>
      </c>
      <c r="HL69" s="61" t="str">
        <f t="shared" si="53"/>
        <v/>
      </c>
      <c r="HM69" s="61" t="str">
        <f t="shared" si="54"/>
        <v/>
      </c>
      <c r="HN69" s="61" t="str">
        <f t="shared" si="55"/>
        <v/>
      </c>
      <c r="HO69" s="61" t="str">
        <f t="shared" si="56"/>
        <v/>
      </c>
      <c r="HP69" s="61" t="str">
        <f t="shared" si="57"/>
        <v/>
      </c>
      <c r="HQ69" s="61" t="str">
        <f t="shared" si="58"/>
        <v/>
      </c>
      <c r="HR69" s="61" t="str">
        <f t="shared" si="59"/>
        <v/>
      </c>
      <c r="HS69" s="61" t="str">
        <f t="shared" si="60"/>
        <v/>
      </c>
      <c r="HT69" s="61" t="str">
        <f t="shared" si="61"/>
        <v/>
      </c>
      <c r="HU69" s="61" t="str">
        <f t="shared" si="62"/>
        <v>x</v>
      </c>
      <c r="HV69" s="61" t="str">
        <f t="shared" si="63"/>
        <v/>
      </c>
      <c r="HW69" s="61" t="str">
        <f t="shared" si="64"/>
        <v/>
      </c>
      <c r="HX69" s="61" t="str">
        <f t="shared" si="65"/>
        <v/>
      </c>
      <c r="HY69" s="61" t="str">
        <f t="shared" si="66"/>
        <v/>
      </c>
      <c r="HZ69" s="61" t="str">
        <f t="shared" si="67"/>
        <v/>
      </c>
    </row>
    <row r="70" ht="29.25" customHeight="1">
      <c r="A70" s="49" t="s">
        <v>986</v>
      </c>
      <c r="B70" s="80" t="s">
        <v>987</v>
      </c>
      <c r="C70" s="113" t="s">
        <v>988</v>
      </c>
      <c r="D70" s="80" t="s">
        <v>209</v>
      </c>
      <c r="E70" s="107">
        <f t="shared" si="3"/>
        <v>2</v>
      </c>
      <c r="F70" s="80" t="s">
        <v>245</v>
      </c>
      <c r="G70" s="80" t="s">
        <v>211</v>
      </c>
      <c r="H70" s="80">
        <v>2010.0</v>
      </c>
      <c r="J70" s="80" t="s">
        <v>989</v>
      </c>
      <c r="K70" s="61" t="str">
        <f t="shared" si="266"/>
        <v/>
      </c>
      <c r="L70" s="61">
        <f t="shared" si="267"/>
        <v>1</v>
      </c>
      <c r="M70" s="61" t="str">
        <f t="shared" si="268"/>
        <v/>
      </c>
      <c r="N70" s="61" t="str">
        <f t="shared" si="269"/>
        <v/>
      </c>
      <c r="O70" s="61" t="str">
        <f t="shared" si="270"/>
        <v/>
      </c>
      <c r="P70" s="61" t="str">
        <f t="shared" si="271"/>
        <v/>
      </c>
      <c r="Q70" s="61" t="b">
        <f t="shared" si="261"/>
        <v>1</v>
      </c>
      <c r="R70" s="61" t="b">
        <f t="shared" si="272"/>
        <v>1</v>
      </c>
      <c r="S70" s="80">
        <v>1.0</v>
      </c>
      <c r="T70" s="80">
        <v>1.0</v>
      </c>
      <c r="U70" s="80">
        <v>1.0</v>
      </c>
      <c r="V70" s="61" t="b">
        <f t="shared" si="273"/>
        <v>1</v>
      </c>
      <c r="W70" s="80">
        <v>1.0</v>
      </c>
      <c r="X70" s="80">
        <v>1.0</v>
      </c>
      <c r="Y70" s="80">
        <v>1.0</v>
      </c>
      <c r="AA70" s="61" t="str">
        <f t="shared" si="274"/>
        <v/>
      </c>
      <c r="AB70" s="61" t="str">
        <f t="shared" si="275"/>
        <v/>
      </c>
      <c r="AC70" s="114" t="s">
        <v>990</v>
      </c>
      <c r="AD70" s="80" t="s">
        <v>266</v>
      </c>
      <c r="AF70" s="61">
        <f>countif('Charts-SLR'!A:A,AD70)</f>
        <v>1</v>
      </c>
      <c r="AG70" s="80" t="s">
        <v>312</v>
      </c>
      <c r="AH70" s="61">
        <f t="shared" si="276"/>
        <v>0</v>
      </c>
      <c r="AI70" s="80" t="s">
        <v>231</v>
      </c>
      <c r="AJ70" s="80">
        <v>6.0</v>
      </c>
      <c r="AK70" s="108">
        <f t="shared" si="277"/>
        <v>3</v>
      </c>
      <c r="AL70" s="61">
        <f t="shared" si="278"/>
        <v>6</v>
      </c>
      <c r="AM70" s="61" t="str">
        <f t="shared" si="279"/>
        <v/>
      </c>
      <c r="AN70" s="61" t="str">
        <f t="shared" si="280"/>
        <v/>
      </c>
      <c r="AO70" s="61" t="str">
        <f t="shared" si="281"/>
        <v/>
      </c>
      <c r="AP70" s="61" t="str">
        <f t="shared" si="282"/>
        <v/>
      </c>
      <c r="AQ70" s="61" t="str">
        <f t="shared" si="283"/>
        <v/>
      </c>
      <c r="AR70" s="74"/>
      <c r="AS70" s="73" t="s">
        <v>217</v>
      </c>
      <c r="AT70" s="74"/>
      <c r="AU70" s="74"/>
      <c r="AV70" s="74"/>
      <c r="AW70" s="74"/>
      <c r="AX70" s="74"/>
      <c r="AY70" s="74"/>
      <c r="AZ70" s="74"/>
      <c r="BA70" s="74"/>
      <c r="BB70" s="109" t="str">
        <f t="shared" si="106"/>
        <v>ERR</v>
      </c>
      <c r="BC70" s="73" t="s">
        <v>217</v>
      </c>
      <c r="BD70" s="73" t="s">
        <v>217</v>
      </c>
      <c r="BE70" s="74"/>
      <c r="BF70" s="74"/>
      <c r="BG70" s="74"/>
      <c r="BH70" s="74"/>
      <c r="BI70" s="110">
        <f t="shared" si="284"/>
        <v>2</v>
      </c>
      <c r="BJ70" s="74"/>
      <c r="BK70" s="74"/>
      <c r="BL70" s="74"/>
      <c r="BM70" s="74"/>
      <c r="BN70" s="74"/>
      <c r="BO70" s="74"/>
      <c r="BP70" s="73" t="s">
        <v>217</v>
      </c>
      <c r="BQ70" s="74"/>
      <c r="BR70" s="74"/>
      <c r="BS70" s="74"/>
      <c r="BT70" s="74"/>
      <c r="BU70" s="74"/>
      <c r="BV70" s="73" t="s">
        <v>217</v>
      </c>
      <c r="BW70" s="74"/>
      <c r="BX70" s="74"/>
      <c r="BY70" s="73" t="s">
        <v>217</v>
      </c>
      <c r="BZ70" s="74"/>
      <c r="CA70" s="73" t="s">
        <v>217</v>
      </c>
      <c r="CB70" s="74"/>
      <c r="CC70" s="74"/>
      <c r="CD70" s="74"/>
      <c r="CE70" s="74"/>
      <c r="CF70" s="74"/>
      <c r="CG70" s="74"/>
      <c r="CH70" s="73" t="s">
        <v>217</v>
      </c>
      <c r="CI70" s="110" t="str">
        <f t="shared" si="260"/>
        <v/>
      </c>
      <c r="CJ70" s="110">
        <f t="shared" si="285"/>
        <v>2</v>
      </c>
      <c r="CK70" s="74"/>
      <c r="CL70" s="74"/>
      <c r="CM70" s="73" t="s">
        <v>217</v>
      </c>
      <c r="CN70" s="74"/>
      <c r="CO70" s="74"/>
      <c r="CP70" s="74"/>
      <c r="CQ70" s="74"/>
      <c r="CT70" s="80" t="s">
        <v>217</v>
      </c>
      <c r="DE70" s="80" t="s">
        <v>217</v>
      </c>
      <c r="DG70" s="61">
        <f t="shared" si="108"/>
        <v>1</v>
      </c>
      <c r="DH70" s="80" t="s">
        <v>217</v>
      </c>
      <c r="DM70" s="61">
        <f t="shared" si="286"/>
        <v>1</v>
      </c>
      <c r="DN70" s="80" t="s">
        <v>217</v>
      </c>
      <c r="DO70" s="80" t="s">
        <v>217</v>
      </c>
      <c r="DP70" s="61" t="str">
        <f t="shared" si="109"/>
        <v>both</v>
      </c>
      <c r="DQ70" s="61" t="str">
        <f t="shared" si="110"/>
        <v/>
      </c>
      <c r="DR70" s="61" t="str">
        <f t="shared" si="111"/>
        <v/>
      </c>
      <c r="DS70" s="74"/>
      <c r="DT70" s="74"/>
      <c r="DU70" s="74"/>
      <c r="DV70" s="74"/>
      <c r="DW70" s="74"/>
      <c r="DX70" s="74"/>
      <c r="DY70" s="110">
        <f t="shared" si="29"/>
        <v>0</v>
      </c>
      <c r="DZ70" s="110" t="str">
        <f>if(AND(DS70&gt;0,DY70&gt;0), "x", "")</f>
        <v/>
      </c>
      <c r="EA70" s="74"/>
      <c r="EB70" s="74"/>
      <c r="EC70" s="74"/>
      <c r="ED70" s="73" t="s">
        <v>991</v>
      </c>
      <c r="EE70" s="110">
        <f t="shared" si="30"/>
        <v>1</v>
      </c>
      <c r="EF70" s="110" t="str">
        <f t="shared" si="70"/>
        <v/>
      </c>
      <c r="EG70" s="61" t="str">
        <f t="shared" si="31"/>
        <v/>
      </c>
      <c r="EI70" s="80" t="s">
        <v>992</v>
      </c>
      <c r="EJ70" s="74"/>
      <c r="EK70" s="74"/>
      <c r="EL70" s="74"/>
      <c r="EM70" s="74"/>
      <c r="EO70" s="80" t="s">
        <v>217</v>
      </c>
      <c r="ES70" s="80" t="s">
        <v>993</v>
      </c>
      <c r="ET70" s="73">
        <v>0.0</v>
      </c>
      <c r="EU70" s="74"/>
      <c r="EV70" s="74"/>
      <c r="EW70" s="74"/>
      <c r="EX70" s="74"/>
      <c r="EZ70" s="80" t="s">
        <v>994</v>
      </c>
      <c r="FE70" s="97">
        <f t="shared" si="32"/>
        <v>0</v>
      </c>
      <c r="FF70" s="80">
        <v>1.0</v>
      </c>
      <c r="FG70" s="80">
        <v>1.0</v>
      </c>
      <c r="FH70" s="80">
        <v>0.0</v>
      </c>
      <c r="FI70" s="61">
        <f t="shared" si="263"/>
        <v>2</v>
      </c>
      <c r="FJ70" s="80">
        <v>0.0</v>
      </c>
      <c r="FK70" s="80">
        <v>0.0</v>
      </c>
      <c r="FL70" s="80" t="s">
        <v>189</v>
      </c>
      <c r="FM70" s="61" t="str">
        <f t="shared" si="264"/>
        <v>0</v>
      </c>
      <c r="FN70" s="61">
        <f t="shared" si="290"/>
        <v>0</v>
      </c>
      <c r="FP70" s="80" t="s">
        <v>217</v>
      </c>
      <c r="FQ70" s="61" t="str">
        <f t="shared" si="287"/>
        <v/>
      </c>
      <c r="FR70" s="80" t="s">
        <v>217</v>
      </c>
      <c r="FT70" s="61" t="str">
        <f t="shared" si="288"/>
        <v/>
      </c>
      <c r="FU70" s="61" t="str">
        <f t="shared" si="289"/>
        <v/>
      </c>
      <c r="FV70" s="74"/>
      <c r="GA70" s="80" t="s">
        <v>217</v>
      </c>
      <c r="GJ70" s="80" t="s">
        <v>217</v>
      </c>
      <c r="GL70" s="80" t="s">
        <v>995</v>
      </c>
      <c r="GN70" s="80">
        <v>2.0</v>
      </c>
      <c r="GO70" s="80" t="s">
        <v>996</v>
      </c>
      <c r="GP70" s="116"/>
      <c r="GQ70" s="80" t="s">
        <v>997</v>
      </c>
      <c r="GU70" s="61" t="str">
        <f t="shared" si="36"/>
        <v/>
      </c>
      <c r="GV70" s="61" t="str">
        <f t="shared" si="37"/>
        <v/>
      </c>
      <c r="GW70" s="61" t="str">
        <f t="shared" si="38"/>
        <v/>
      </c>
      <c r="GX70" s="61" t="str">
        <f t="shared" si="39"/>
        <v/>
      </c>
      <c r="GY70" s="61" t="str">
        <f t="shared" si="40"/>
        <v/>
      </c>
      <c r="GZ70" s="61" t="str">
        <f t="shared" si="41"/>
        <v/>
      </c>
      <c r="HA70" s="61" t="str">
        <f t="shared" si="42"/>
        <v/>
      </c>
      <c r="HB70" s="61" t="str">
        <f t="shared" si="43"/>
        <v/>
      </c>
      <c r="HC70" s="61" t="str">
        <f t="shared" si="44"/>
        <v/>
      </c>
      <c r="HD70" s="61" t="str">
        <f t="shared" si="45"/>
        <v/>
      </c>
      <c r="HE70" s="61" t="str">
        <f t="shared" si="46"/>
        <v/>
      </c>
      <c r="HF70" s="61" t="str">
        <f t="shared" si="47"/>
        <v/>
      </c>
      <c r="HG70" s="61" t="str">
        <f t="shared" si="48"/>
        <v/>
      </c>
      <c r="HH70" s="61" t="str">
        <f t="shared" si="49"/>
        <v/>
      </c>
      <c r="HI70" s="61" t="str">
        <f t="shared" si="50"/>
        <v/>
      </c>
      <c r="HJ70" s="61" t="str">
        <f t="shared" si="51"/>
        <v/>
      </c>
      <c r="HK70" s="61" t="str">
        <f t="shared" si="52"/>
        <v/>
      </c>
      <c r="HL70" s="61" t="str">
        <f t="shared" si="53"/>
        <v/>
      </c>
      <c r="HM70" s="61" t="str">
        <f t="shared" si="54"/>
        <v/>
      </c>
      <c r="HN70" s="61" t="str">
        <f t="shared" si="55"/>
        <v/>
      </c>
      <c r="HO70" s="61" t="str">
        <f t="shared" si="56"/>
        <v/>
      </c>
      <c r="HP70" s="61" t="str">
        <f t="shared" si="57"/>
        <v/>
      </c>
      <c r="HQ70" s="61" t="str">
        <f t="shared" si="58"/>
        <v/>
      </c>
      <c r="HR70" s="61" t="str">
        <f t="shared" si="59"/>
        <v>x</v>
      </c>
      <c r="HS70" s="61" t="str">
        <f t="shared" si="60"/>
        <v/>
      </c>
      <c r="HT70" s="61" t="str">
        <f t="shared" si="61"/>
        <v/>
      </c>
      <c r="HU70" s="61" t="str">
        <f t="shared" si="62"/>
        <v/>
      </c>
      <c r="HV70" s="61" t="str">
        <f t="shared" si="63"/>
        <v/>
      </c>
      <c r="HW70" s="61" t="str">
        <f t="shared" si="64"/>
        <v/>
      </c>
      <c r="HX70" s="61" t="str">
        <f t="shared" si="65"/>
        <v/>
      </c>
      <c r="HY70" s="61" t="str">
        <f t="shared" si="66"/>
        <v/>
      </c>
      <c r="HZ70" s="61" t="str">
        <f t="shared" si="67"/>
        <v/>
      </c>
    </row>
    <row r="71" ht="1.5" customHeight="1">
      <c r="A71" s="49" t="s">
        <v>998</v>
      </c>
      <c r="B71" s="80" t="s">
        <v>999</v>
      </c>
      <c r="C71" s="113" t="s">
        <v>1000</v>
      </c>
      <c r="D71" s="80" t="s">
        <v>210</v>
      </c>
      <c r="E71" s="107">
        <f t="shared" si="3"/>
        <v>2</v>
      </c>
      <c r="F71" s="80" t="s">
        <v>209</v>
      </c>
      <c r="G71" s="80" t="s">
        <v>211</v>
      </c>
      <c r="H71" s="80">
        <v>2008.0</v>
      </c>
      <c r="J71" s="80" t="s">
        <v>1001</v>
      </c>
      <c r="K71" s="61" t="str">
        <f t="shared" si="266"/>
        <v/>
      </c>
      <c r="L71" s="61" t="str">
        <f t="shared" si="267"/>
        <v/>
      </c>
      <c r="M71" s="61">
        <f t="shared" si="268"/>
        <v>1</v>
      </c>
      <c r="N71" s="61" t="str">
        <f t="shared" si="269"/>
        <v/>
      </c>
      <c r="O71" s="61" t="str">
        <f t="shared" si="270"/>
        <v/>
      </c>
      <c r="P71" s="61" t="str">
        <f t="shared" si="271"/>
        <v/>
      </c>
      <c r="Q71" s="61" t="b">
        <f t="shared" si="261"/>
        <v>1</v>
      </c>
      <c r="R71" s="61" t="b">
        <f t="shared" si="272"/>
        <v>1</v>
      </c>
      <c r="S71" s="80">
        <v>1.0</v>
      </c>
      <c r="T71" s="80">
        <v>1.0</v>
      </c>
      <c r="U71" s="80">
        <v>1.0</v>
      </c>
      <c r="V71" s="61" t="b">
        <f t="shared" si="273"/>
        <v>1</v>
      </c>
      <c r="W71" s="80">
        <v>1.0</v>
      </c>
      <c r="X71" s="80">
        <v>1.0</v>
      </c>
      <c r="Y71" s="80">
        <v>1.0</v>
      </c>
      <c r="AA71" s="61" t="str">
        <f t="shared" si="274"/>
        <v/>
      </c>
      <c r="AB71" s="61" t="str">
        <f t="shared" si="275"/>
        <v/>
      </c>
      <c r="AC71" s="114" t="s">
        <v>1002</v>
      </c>
      <c r="AD71" s="80" t="s">
        <v>214</v>
      </c>
      <c r="AF71" s="61">
        <f>countif('Charts-SLR'!A:A,AD71)</f>
        <v>1</v>
      </c>
      <c r="AG71" s="80" t="s">
        <v>267</v>
      </c>
      <c r="AH71" s="61">
        <f t="shared" si="276"/>
        <v>0</v>
      </c>
      <c r="AI71" s="80" t="s">
        <v>250</v>
      </c>
      <c r="AJ71" s="80">
        <v>54.0</v>
      </c>
      <c r="AK71" s="108">
        <f t="shared" si="277"/>
        <v>13.5</v>
      </c>
      <c r="AL71" s="61" t="str">
        <f t="shared" si="278"/>
        <v/>
      </c>
      <c r="AM71" s="61">
        <f t="shared" si="279"/>
        <v>54</v>
      </c>
      <c r="AN71" s="61" t="str">
        <f t="shared" si="280"/>
        <v/>
      </c>
      <c r="AO71" s="61" t="str">
        <f t="shared" si="281"/>
        <v/>
      </c>
      <c r="AP71" s="61" t="str">
        <f t="shared" si="282"/>
        <v/>
      </c>
      <c r="AQ71" s="61" t="str">
        <f t="shared" si="283"/>
        <v/>
      </c>
      <c r="AR71" s="74"/>
      <c r="AS71" s="74"/>
      <c r="AT71" s="74"/>
      <c r="AU71" s="73" t="s">
        <v>217</v>
      </c>
      <c r="AV71" s="74"/>
      <c r="AW71" s="74"/>
      <c r="AX71" s="74"/>
      <c r="AY71" s="74"/>
      <c r="AZ71" s="74"/>
      <c r="BA71" s="74"/>
      <c r="BB71" s="109" t="str">
        <f t="shared" si="106"/>
        <v/>
      </c>
      <c r="BC71" s="73" t="s">
        <v>217</v>
      </c>
      <c r="BD71" s="74"/>
      <c r="BE71" s="73" t="s">
        <v>217</v>
      </c>
      <c r="BF71" s="74"/>
      <c r="BG71" s="74"/>
      <c r="BH71" s="74"/>
      <c r="BI71" s="110">
        <f t="shared" si="284"/>
        <v>2</v>
      </c>
      <c r="BJ71" s="74"/>
      <c r="BK71" s="74"/>
      <c r="BL71" s="73" t="s">
        <v>217</v>
      </c>
      <c r="BM71" s="74"/>
      <c r="BN71" s="73" t="s">
        <v>218</v>
      </c>
      <c r="BO71" s="74"/>
      <c r="BP71" s="73" t="s">
        <v>217</v>
      </c>
      <c r="BQ71" s="74"/>
      <c r="BR71" s="74"/>
      <c r="BS71" s="74"/>
      <c r="BT71" s="74"/>
      <c r="BU71" s="74"/>
      <c r="BV71" s="73" t="s">
        <v>217</v>
      </c>
      <c r="BW71" s="74"/>
      <c r="BX71" s="74"/>
      <c r="BY71" s="73" t="s">
        <v>217</v>
      </c>
      <c r="BZ71" s="74"/>
      <c r="CA71" s="73" t="s">
        <v>217</v>
      </c>
      <c r="CB71" s="73" t="s">
        <v>217</v>
      </c>
      <c r="CC71" s="74"/>
      <c r="CD71" s="74"/>
      <c r="CE71" s="74"/>
      <c r="CF71" s="74"/>
      <c r="CG71" s="73" t="s">
        <v>217</v>
      </c>
      <c r="CH71" s="74"/>
      <c r="CI71" s="110" t="str">
        <f t="shared" si="260"/>
        <v/>
      </c>
      <c r="CJ71" s="110">
        <f t="shared" si="285"/>
        <v>1</v>
      </c>
      <c r="CK71" s="73" t="s">
        <v>217</v>
      </c>
      <c r="CL71" s="74"/>
      <c r="CM71" s="74"/>
      <c r="CN71" s="74"/>
      <c r="CO71" s="74"/>
      <c r="CP71" s="74"/>
      <c r="CQ71" s="74"/>
      <c r="CS71" s="80" t="s">
        <v>217</v>
      </c>
      <c r="CU71" s="80" t="s">
        <v>187</v>
      </c>
      <c r="CX71" s="80" t="s">
        <v>217</v>
      </c>
      <c r="DE71" s="80" t="s">
        <v>217</v>
      </c>
      <c r="DG71" s="61">
        <f t="shared" si="108"/>
        <v>2</v>
      </c>
      <c r="DH71" s="80" t="s">
        <v>217</v>
      </c>
      <c r="DK71" s="80" t="s">
        <v>217</v>
      </c>
      <c r="DM71" s="61">
        <f t="shared" si="286"/>
        <v>2</v>
      </c>
      <c r="DN71" s="80" t="s">
        <v>217</v>
      </c>
      <c r="DO71" s="80" t="s">
        <v>217</v>
      </c>
      <c r="DP71" s="61" t="str">
        <f t="shared" si="109"/>
        <v>both</v>
      </c>
      <c r="DQ71" s="61" t="str">
        <f t="shared" si="110"/>
        <v/>
      </c>
      <c r="DR71" s="61" t="str">
        <f t="shared" si="111"/>
        <v/>
      </c>
      <c r="DS71" s="74"/>
      <c r="DT71" s="73" t="s">
        <v>220</v>
      </c>
      <c r="DU71" s="74"/>
      <c r="DV71" s="74"/>
      <c r="DW71" s="73" t="s">
        <v>217</v>
      </c>
      <c r="DX71" s="74"/>
      <c r="DY71" s="110">
        <f t="shared" si="29"/>
        <v>2</v>
      </c>
      <c r="DZ71" s="110" t="str">
        <f t="shared" ref="DZ71:DZ77" si="291">if(AND(DS71&lt;&gt;"",DW71="x"), "x", "")</f>
        <v/>
      </c>
      <c r="EA71" s="73" t="s">
        <v>217</v>
      </c>
      <c r="EB71" s="74"/>
      <c r="EE71" s="110">
        <f t="shared" si="30"/>
        <v>1</v>
      </c>
      <c r="EF71" s="110" t="str">
        <f t="shared" si="70"/>
        <v>x</v>
      </c>
      <c r="EG71" s="61" t="str">
        <f t="shared" si="31"/>
        <v/>
      </c>
      <c r="EI71" s="80" t="s">
        <v>1003</v>
      </c>
      <c r="EJ71" s="74"/>
      <c r="EK71" s="74"/>
      <c r="EL71" s="74"/>
      <c r="EM71" s="74"/>
      <c r="EN71" s="80" t="s">
        <v>217</v>
      </c>
      <c r="ES71" s="80" t="s">
        <v>1004</v>
      </c>
      <c r="ET71" s="73">
        <v>4.0</v>
      </c>
      <c r="EU71" s="74"/>
      <c r="EV71" s="74"/>
      <c r="EW71" s="74"/>
      <c r="EX71" s="74"/>
      <c r="EZ71" s="80" t="s">
        <v>1005</v>
      </c>
      <c r="FD71" s="80" t="s">
        <v>256</v>
      </c>
      <c r="FE71" s="97">
        <f t="shared" si="32"/>
        <v>1</v>
      </c>
      <c r="FF71" s="80">
        <v>0.5</v>
      </c>
      <c r="FG71" s="80">
        <v>0.5</v>
      </c>
      <c r="FH71" s="124">
        <v>0.5</v>
      </c>
      <c r="FI71" s="61">
        <f t="shared" si="263"/>
        <v>1.5</v>
      </c>
      <c r="FJ71" s="80">
        <v>0.0</v>
      </c>
      <c r="FK71" s="80">
        <v>0.0</v>
      </c>
      <c r="FL71" s="80" t="s">
        <v>189</v>
      </c>
      <c r="FM71" s="61" t="str">
        <f t="shared" si="264"/>
        <v>1</v>
      </c>
      <c r="FN71" s="61">
        <f t="shared" si="290"/>
        <v>0</v>
      </c>
      <c r="FP71" s="80" t="s">
        <v>217</v>
      </c>
      <c r="FQ71" s="61" t="str">
        <f t="shared" si="287"/>
        <v/>
      </c>
      <c r="FS71" s="80" t="s">
        <v>217</v>
      </c>
      <c r="FT71" s="61" t="str">
        <f t="shared" si="288"/>
        <v/>
      </c>
      <c r="FU71" s="61" t="str">
        <f t="shared" si="289"/>
        <v/>
      </c>
      <c r="FV71" s="73" t="s">
        <v>217</v>
      </c>
      <c r="FX71" s="80" t="s">
        <v>217</v>
      </c>
      <c r="FY71" s="80" t="s">
        <v>217</v>
      </c>
      <c r="GD71" s="80" t="s">
        <v>217</v>
      </c>
      <c r="GL71" s="80" t="s">
        <v>1006</v>
      </c>
      <c r="GN71" s="80">
        <v>1.0</v>
      </c>
      <c r="GO71" s="80" t="s">
        <v>985</v>
      </c>
      <c r="GP71" s="112">
        <v>10000.0</v>
      </c>
      <c r="GS71" s="80" t="s">
        <v>217</v>
      </c>
      <c r="GU71" s="61" t="str">
        <f t="shared" si="36"/>
        <v/>
      </c>
      <c r="GV71" s="61" t="str">
        <f t="shared" si="37"/>
        <v/>
      </c>
      <c r="GW71" s="61" t="str">
        <f t="shared" si="38"/>
        <v>x</v>
      </c>
      <c r="GX71" s="61" t="str">
        <f t="shared" si="39"/>
        <v/>
      </c>
      <c r="GY71" s="61" t="str">
        <f t="shared" si="40"/>
        <v/>
      </c>
      <c r="GZ71" s="61" t="str">
        <f t="shared" si="41"/>
        <v/>
      </c>
      <c r="HA71" s="61" t="str">
        <f t="shared" si="42"/>
        <v/>
      </c>
      <c r="HB71" s="61" t="str">
        <f t="shared" si="43"/>
        <v/>
      </c>
      <c r="HC71" s="61" t="str">
        <f t="shared" si="44"/>
        <v/>
      </c>
      <c r="HD71" s="61" t="str">
        <f t="shared" si="45"/>
        <v>x</v>
      </c>
      <c r="HE71" s="61" t="str">
        <f t="shared" si="46"/>
        <v/>
      </c>
      <c r="HF71" s="61" t="str">
        <f t="shared" si="47"/>
        <v/>
      </c>
      <c r="HG71" s="61" t="str">
        <f t="shared" si="48"/>
        <v/>
      </c>
      <c r="HH71" s="61" t="str">
        <f t="shared" si="49"/>
        <v>x</v>
      </c>
      <c r="HI71" s="61" t="str">
        <f t="shared" si="50"/>
        <v/>
      </c>
      <c r="HJ71" s="61" t="str">
        <f t="shared" si="51"/>
        <v/>
      </c>
      <c r="HK71" s="61" t="str">
        <f t="shared" si="52"/>
        <v/>
      </c>
      <c r="HL71" s="61" t="str">
        <f t="shared" si="53"/>
        <v/>
      </c>
      <c r="HM71" s="61" t="str">
        <f t="shared" si="54"/>
        <v/>
      </c>
      <c r="HN71" s="61" t="str">
        <f t="shared" si="55"/>
        <v/>
      </c>
      <c r="HO71" s="61" t="str">
        <f t="shared" si="56"/>
        <v>x</v>
      </c>
      <c r="HP71" s="61" t="str">
        <f t="shared" si="57"/>
        <v/>
      </c>
      <c r="HQ71" s="61" t="str">
        <f t="shared" si="58"/>
        <v/>
      </c>
      <c r="HR71" s="61" t="str">
        <f t="shared" si="59"/>
        <v/>
      </c>
      <c r="HS71" s="61" t="str">
        <f t="shared" si="60"/>
        <v/>
      </c>
      <c r="HT71" s="61" t="str">
        <f t="shared" si="61"/>
        <v/>
      </c>
      <c r="HU71" s="61" t="str">
        <f t="shared" si="62"/>
        <v/>
      </c>
      <c r="HV71" s="61" t="str">
        <f t="shared" si="63"/>
        <v/>
      </c>
      <c r="HW71" s="61" t="str">
        <f t="shared" si="64"/>
        <v/>
      </c>
      <c r="HX71" s="61" t="str">
        <f t="shared" si="65"/>
        <v/>
      </c>
      <c r="HY71" s="61" t="str">
        <f t="shared" si="66"/>
        <v/>
      </c>
      <c r="HZ71" s="61" t="str">
        <f t="shared" si="67"/>
        <v/>
      </c>
    </row>
    <row r="72" ht="1.5" customHeight="1">
      <c r="A72" s="49" t="s">
        <v>1007</v>
      </c>
      <c r="B72" s="87" t="s">
        <v>1008</v>
      </c>
      <c r="C72" s="113" t="s">
        <v>1009</v>
      </c>
      <c r="D72" s="80" t="s">
        <v>245</v>
      </c>
      <c r="E72" s="107">
        <f t="shared" si="3"/>
        <v>2</v>
      </c>
      <c r="F72" s="80" t="s">
        <v>210</v>
      </c>
      <c r="G72" s="80" t="s">
        <v>211</v>
      </c>
      <c r="H72" s="80">
        <v>2008.0</v>
      </c>
      <c r="J72" s="80" t="s">
        <v>1010</v>
      </c>
      <c r="K72" s="61" t="str">
        <f t="shared" si="266"/>
        <v/>
      </c>
      <c r="L72" s="61" t="str">
        <f t="shared" si="267"/>
        <v/>
      </c>
      <c r="M72" s="61" t="str">
        <f t="shared" si="268"/>
        <v/>
      </c>
      <c r="N72" s="61" t="str">
        <f t="shared" si="269"/>
        <v/>
      </c>
      <c r="O72" s="61">
        <f t="shared" si="270"/>
        <v>1</v>
      </c>
      <c r="P72" s="61" t="str">
        <f t="shared" si="271"/>
        <v/>
      </c>
      <c r="Q72" s="61" t="b">
        <f t="shared" si="261"/>
        <v>1</v>
      </c>
      <c r="R72" s="61" t="b">
        <f t="shared" si="272"/>
        <v>1</v>
      </c>
      <c r="S72" s="80">
        <v>1.0</v>
      </c>
      <c r="T72" s="80">
        <v>1.0</v>
      </c>
      <c r="U72" s="80">
        <v>1.0</v>
      </c>
      <c r="V72" s="61" t="b">
        <f t="shared" si="273"/>
        <v>1</v>
      </c>
      <c r="W72" s="80">
        <v>0.0</v>
      </c>
      <c r="X72" s="80">
        <v>1.0</v>
      </c>
      <c r="Y72" s="80">
        <v>1.0</v>
      </c>
      <c r="Z72" s="115" t="s">
        <v>1011</v>
      </c>
      <c r="AA72" s="61" t="str">
        <f t="shared" si="274"/>
        <v/>
      </c>
      <c r="AB72" s="61" t="str">
        <f t="shared" si="275"/>
        <v/>
      </c>
      <c r="AC72" s="114" t="s">
        <v>1012</v>
      </c>
      <c r="AD72" s="80" t="s">
        <v>214</v>
      </c>
      <c r="AF72" s="61">
        <f>countif('Charts-SLR'!A:A,AD72)</f>
        <v>1</v>
      </c>
      <c r="AG72" s="80" t="s">
        <v>1013</v>
      </c>
      <c r="AH72" s="61">
        <f t="shared" si="276"/>
        <v>0</v>
      </c>
      <c r="AI72" s="80" t="s">
        <v>250</v>
      </c>
      <c r="AJ72" s="80">
        <v>0.0</v>
      </c>
      <c r="AK72" s="108">
        <f t="shared" si="277"/>
        <v>0</v>
      </c>
      <c r="AL72" s="61" t="str">
        <f t="shared" si="278"/>
        <v/>
      </c>
      <c r="AM72" s="61">
        <f t="shared" si="279"/>
        <v>0</v>
      </c>
      <c r="AN72" s="61" t="str">
        <f t="shared" si="280"/>
        <v/>
      </c>
      <c r="AO72" s="61" t="str">
        <f t="shared" si="281"/>
        <v/>
      </c>
      <c r="AP72" s="61" t="str">
        <f t="shared" si="282"/>
        <v/>
      </c>
      <c r="AQ72" s="61" t="str">
        <f t="shared" si="283"/>
        <v/>
      </c>
      <c r="AR72" s="74"/>
      <c r="AS72" s="74"/>
      <c r="AT72" s="73" t="s">
        <v>217</v>
      </c>
      <c r="AU72" s="74"/>
      <c r="AV72" s="74"/>
      <c r="AW72" s="74"/>
      <c r="AX72" s="74"/>
      <c r="AY72" s="74"/>
      <c r="AZ72" s="74"/>
      <c r="BA72" s="74"/>
      <c r="BB72" s="109" t="str">
        <f t="shared" si="106"/>
        <v>ERR</v>
      </c>
      <c r="BC72" s="73" t="s">
        <v>217</v>
      </c>
      <c r="BD72" s="74"/>
      <c r="BE72" s="73" t="s">
        <v>217</v>
      </c>
      <c r="BF72" s="74"/>
      <c r="BG72" s="74"/>
      <c r="BH72" s="74"/>
      <c r="BI72" s="110">
        <f t="shared" si="284"/>
        <v>2</v>
      </c>
      <c r="BJ72" s="73" t="s">
        <v>217</v>
      </c>
      <c r="BK72" s="74"/>
      <c r="BL72" s="74"/>
      <c r="BM72" s="74"/>
      <c r="BN72" s="73" t="s">
        <v>218</v>
      </c>
      <c r="BO72" s="74"/>
      <c r="BP72" s="73" t="s">
        <v>217</v>
      </c>
      <c r="BQ72" s="74"/>
      <c r="BR72" s="74"/>
      <c r="BS72" s="74"/>
      <c r="BT72" s="74"/>
      <c r="BU72" s="74"/>
      <c r="BV72" s="73" t="s">
        <v>217</v>
      </c>
      <c r="BW72" s="74"/>
      <c r="BX72" s="73" t="s">
        <v>217</v>
      </c>
      <c r="BY72" s="73" t="s">
        <v>217</v>
      </c>
      <c r="BZ72" s="73" t="s">
        <v>217</v>
      </c>
      <c r="CA72" s="74"/>
      <c r="CB72" s="74"/>
      <c r="CC72" s="74"/>
      <c r="CD72" s="74"/>
      <c r="CE72" s="74"/>
      <c r="CF72" s="74"/>
      <c r="CG72" s="74"/>
      <c r="CH72" s="74"/>
      <c r="CI72" s="110" t="str">
        <f t="shared" si="260"/>
        <v/>
      </c>
      <c r="CJ72" s="110">
        <f t="shared" si="285"/>
        <v>3</v>
      </c>
      <c r="CK72" s="74"/>
      <c r="CL72" s="74"/>
      <c r="CM72" s="73" t="s">
        <v>217</v>
      </c>
      <c r="CN72" s="74"/>
      <c r="CO72" s="74"/>
      <c r="CP72" s="74"/>
      <c r="CQ72" s="74"/>
      <c r="CS72" s="80" t="s">
        <v>217</v>
      </c>
      <c r="CT72" s="80" t="s">
        <v>217</v>
      </c>
      <c r="DF72" s="80" t="s">
        <v>630</v>
      </c>
      <c r="DG72" s="61">
        <f t="shared" si="108"/>
        <v>1</v>
      </c>
      <c r="DH72" s="80" t="s">
        <v>217</v>
      </c>
      <c r="DI72" s="80" t="s">
        <v>217</v>
      </c>
      <c r="DJ72" s="80" t="s">
        <v>217</v>
      </c>
      <c r="DM72" s="61">
        <f t="shared" si="286"/>
        <v>3</v>
      </c>
      <c r="DN72" s="80" t="s">
        <v>217</v>
      </c>
      <c r="DO72" s="80" t="s">
        <v>217</v>
      </c>
      <c r="DP72" s="61" t="str">
        <f t="shared" si="109"/>
        <v>both</v>
      </c>
      <c r="DQ72" s="61" t="str">
        <f t="shared" si="110"/>
        <v/>
      </c>
      <c r="DR72" s="61" t="str">
        <f t="shared" si="111"/>
        <v/>
      </c>
      <c r="DS72" s="73" t="s">
        <v>1014</v>
      </c>
      <c r="DT72" s="74"/>
      <c r="DU72" s="74"/>
      <c r="DV72" s="74"/>
      <c r="DW72" s="74"/>
      <c r="DX72" s="74"/>
      <c r="DY72" s="110">
        <f t="shared" si="29"/>
        <v>1</v>
      </c>
      <c r="DZ72" s="110" t="str">
        <f t="shared" si="291"/>
        <v/>
      </c>
      <c r="EA72" s="74"/>
      <c r="EB72" s="74"/>
      <c r="EC72" s="74"/>
      <c r="ED72" s="74"/>
      <c r="EE72" s="110">
        <f t="shared" si="30"/>
        <v>0</v>
      </c>
      <c r="EF72" s="110" t="str">
        <f t="shared" si="70"/>
        <v/>
      </c>
      <c r="EG72" s="61" t="str">
        <f t="shared" si="31"/>
        <v/>
      </c>
      <c r="EI72" s="80" t="s">
        <v>1015</v>
      </c>
      <c r="EJ72" s="74"/>
      <c r="EK72" s="74"/>
      <c r="EL72" s="74"/>
      <c r="EM72" s="74"/>
      <c r="EN72" s="80" t="s">
        <v>217</v>
      </c>
      <c r="ES72" s="80" t="s">
        <v>1016</v>
      </c>
      <c r="ET72" s="73">
        <v>2.0</v>
      </c>
      <c r="EU72" s="74"/>
      <c r="EV72" s="74"/>
      <c r="EW72" s="74"/>
      <c r="EX72" s="74"/>
      <c r="EZ72" s="80" t="s">
        <v>1017</v>
      </c>
      <c r="FA72" s="80" t="s">
        <v>1018</v>
      </c>
      <c r="FC72" s="80" t="s">
        <v>1019</v>
      </c>
      <c r="FD72" s="80" t="s">
        <v>1020</v>
      </c>
      <c r="FE72" s="97">
        <f t="shared" si="32"/>
        <v>3</v>
      </c>
      <c r="FF72" s="80">
        <v>1.0</v>
      </c>
      <c r="FG72" s="80">
        <v>1.0</v>
      </c>
      <c r="FH72" s="80">
        <v>1.0</v>
      </c>
      <c r="FI72" s="61">
        <f t="shared" si="263"/>
        <v>3</v>
      </c>
      <c r="FJ72" s="80">
        <v>1.0</v>
      </c>
      <c r="FK72" s="80">
        <v>0.0</v>
      </c>
      <c r="FL72" s="80">
        <v>0.0</v>
      </c>
      <c r="FM72" s="61" t="str">
        <f t="shared" si="264"/>
        <v>1</v>
      </c>
      <c r="FN72" s="61">
        <f>SUM.LEGACY(FJ72:FM72)</f>
        <v>2</v>
      </c>
      <c r="FP72" s="80" t="s">
        <v>217</v>
      </c>
      <c r="FQ72" s="61" t="str">
        <f t="shared" si="287"/>
        <v/>
      </c>
      <c r="FR72" s="80" t="s">
        <v>217</v>
      </c>
      <c r="FT72" s="61" t="str">
        <f t="shared" si="288"/>
        <v/>
      </c>
      <c r="FU72" s="61" t="str">
        <f t="shared" si="289"/>
        <v/>
      </c>
      <c r="FV72" s="74"/>
      <c r="FW72" s="80" t="s">
        <v>217</v>
      </c>
      <c r="FX72" s="80" t="s">
        <v>217</v>
      </c>
      <c r="GC72" s="80" t="s">
        <v>217</v>
      </c>
      <c r="GN72" s="80">
        <v>9.0</v>
      </c>
      <c r="GO72" s="80" t="s">
        <v>1021</v>
      </c>
      <c r="GP72" s="112">
        <v>13155.0</v>
      </c>
      <c r="GQ72" s="80" t="s">
        <v>1022</v>
      </c>
      <c r="GS72" s="80" t="s">
        <v>217</v>
      </c>
      <c r="GU72" s="61" t="str">
        <f t="shared" si="36"/>
        <v/>
      </c>
      <c r="GV72" s="61" t="str">
        <f t="shared" si="37"/>
        <v/>
      </c>
      <c r="GW72" s="61" t="str">
        <f t="shared" si="38"/>
        <v/>
      </c>
      <c r="GX72" s="61" t="str">
        <f t="shared" si="39"/>
        <v/>
      </c>
      <c r="GY72" s="61" t="str">
        <f t="shared" si="40"/>
        <v/>
      </c>
      <c r="GZ72" s="61" t="str">
        <f t="shared" si="41"/>
        <v/>
      </c>
      <c r="HA72" s="61" t="str">
        <f t="shared" si="42"/>
        <v/>
      </c>
      <c r="HB72" s="61" t="str">
        <f t="shared" si="43"/>
        <v/>
      </c>
      <c r="HC72" s="61" t="str">
        <f t="shared" si="44"/>
        <v/>
      </c>
      <c r="HD72" s="61" t="str">
        <f t="shared" si="45"/>
        <v/>
      </c>
      <c r="HE72" s="61" t="str">
        <f t="shared" si="46"/>
        <v/>
      </c>
      <c r="HF72" s="61" t="str">
        <f t="shared" si="47"/>
        <v/>
      </c>
      <c r="HG72" s="61" t="str">
        <f t="shared" si="48"/>
        <v/>
      </c>
      <c r="HH72" s="61" t="str">
        <f t="shared" si="49"/>
        <v/>
      </c>
      <c r="HI72" s="61" t="str">
        <f t="shared" si="50"/>
        <v/>
      </c>
      <c r="HJ72" s="61" t="str">
        <f t="shared" si="51"/>
        <v/>
      </c>
      <c r="HK72" s="61" t="str">
        <f t="shared" si="52"/>
        <v/>
      </c>
      <c r="HL72" s="61" t="str">
        <f t="shared" si="53"/>
        <v/>
      </c>
      <c r="HM72" s="61" t="str">
        <f t="shared" si="54"/>
        <v/>
      </c>
      <c r="HN72" s="61" t="str">
        <f t="shared" si="55"/>
        <v/>
      </c>
      <c r="HO72" s="61" t="str">
        <f t="shared" si="56"/>
        <v/>
      </c>
      <c r="HP72" s="61" t="str">
        <f t="shared" si="57"/>
        <v/>
      </c>
      <c r="HQ72" s="61" t="str">
        <f t="shared" si="58"/>
        <v/>
      </c>
      <c r="HR72" s="61" t="str">
        <f t="shared" si="59"/>
        <v/>
      </c>
      <c r="HS72" s="61" t="str">
        <f t="shared" si="60"/>
        <v/>
      </c>
      <c r="HT72" s="61" t="str">
        <f t="shared" si="61"/>
        <v/>
      </c>
      <c r="HU72" s="61" t="str">
        <f t="shared" si="62"/>
        <v/>
      </c>
      <c r="HV72" s="61" t="str">
        <f t="shared" si="63"/>
        <v/>
      </c>
      <c r="HW72" s="61" t="str">
        <f t="shared" si="64"/>
        <v/>
      </c>
      <c r="HX72" s="61" t="str">
        <f t="shared" si="65"/>
        <v/>
      </c>
      <c r="HY72" s="61" t="str">
        <f t="shared" si="66"/>
        <v/>
      </c>
      <c r="HZ72" s="61" t="str">
        <f t="shared" si="67"/>
        <v/>
      </c>
    </row>
    <row r="73" ht="1.5" customHeight="1">
      <c r="A73" s="49" t="s">
        <v>1023</v>
      </c>
      <c r="B73" s="95" t="s">
        <v>1024</v>
      </c>
      <c r="C73" s="117" t="s">
        <v>1025</v>
      </c>
      <c r="D73" s="95" t="s">
        <v>245</v>
      </c>
      <c r="E73" s="96" t="str">
        <f t="shared" si="3"/>
        <v/>
      </c>
      <c r="F73" s="95" t="s">
        <v>210</v>
      </c>
      <c r="G73" s="95" t="s">
        <v>211</v>
      </c>
      <c r="H73" s="95">
        <v>2010.0</v>
      </c>
      <c r="I73" s="7"/>
      <c r="J73" s="95" t="s">
        <v>1026</v>
      </c>
      <c r="K73" s="97" t="str">
        <f t="shared" si="266"/>
        <v/>
      </c>
      <c r="L73" s="97" t="str">
        <f t="shared" si="267"/>
        <v/>
      </c>
      <c r="M73" s="97" t="str">
        <f t="shared" si="268"/>
        <v/>
      </c>
      <c r="N73" s="97" t="str">
        <f t="shared" si="269"/>
        <v/>
      </c>
      <c r="O73" s="97">
        <f t="shared" si="270"/>
        <v>1</v>
      </c>
      <c r="P73" s="97" t="str">
        <f t="shared" si="271"/>
        <v/>
      </c>
      <c r="Q73" s="97" t="b">
        <f t="shared" si="261"/>
        <v>1</v>
      </c>
      <c r="R73" s="97" t="b">
        <f t="shared" si="272"/>
        <v>1</v>
      </c>
      <c r="S73" s="95">
        <v>1.0</v>
      </c>
      <c r="T73" s="95">
        <v>1.0</v>
      </c>
      <c r="U73" s="95">
        <v>1.0</v>
      </c>
      <c r="V73" s="97" t="b">
        <f t="shared" si="273"/>
        <v>1</v>
      </c>
      <c r="W73" s="95">
        <v>0.0</v>
      </c>
      <c r="X73" s="95">
        <v>1.0</v>
      </c>
      <c r="Y73" s="95">
        <v>1.0</v>
      </c>
      <c r="Z73" s="7"/>
      <c r="AA73" s="97" t="str">
        <f t="shared" si="274"/>
        <v/>
      </c>
      <c r="AB73" s="97" t="str">
        <f t="shared" si="275"/>
        <v>Gerlits:syrcose10, </v>
      </c>
      <c r="AC73" s="98" t="s">
        <v>1027</v>
      </c>
      <c r="AD73" s="95" t="s">
        <v>1028</v>
      </c>
      <c r="AE73" s="7"/>
      <c r="AF73" s="97">
        <f>countif('Charts-SLR'!A:A,AD73)</f>
        <v>1</v>
      </c>
      <c r="AG73" s="95" t="s">
        <v>1029</v>
      </c>
      <c r="AH73" s="97">
        <f t="shared" si="276"/>
        <v>0</v>
      </c>
      <c r="AI73" s="95" t="s">
        <v>216</v>
      </c>
      <c r="AJ73" s="95">
        <v>0.0</v>
      </c>
      <c r="AK73" s="99">
        <f t="shared" si="277"/>
        <v>0</v>
      </c>
      <c r="AL73" s="97" t="str">
        <f t="shared" si="278"/>
        <v/>
      </c>
      <c r="AM73" s="97" t="str">
        <f t="shared" si="279"/>
        <v/>
      </c>
      <c r="AN73" s="97">
        <f t="shared" si="280"/>
        <v>0</v>
      </c>
      <c r="AO73" s="97" t="str">
        <f t="shared" si="281"/>
        <v/>
      </c>
      <c r="AP73" s="97" t="str">
        <f t="shared" si="282"/>
        <v/>
      </c>
      <c r="AQ73" s="97" t="str">
        <f t="shared" si="283"/>
        <v>Gerlits:syrcose10, </v>
      </c>
      <c r="AR73" s="100"/>
      <c r="AS73" s="100"/>
      <c r="AT73" s="100"/>
      <c r="AU73" s="100"/>
      <c r="AV73" s="100"/>
      <c r="AW73" s="100"/>
      <c r="AX73" s="100"/>
      <c r="AY73" s="100"/>
      <c r="AZ73" s="100"/>
      <c r="BA73" s="100"/>
      <c r="BB73" s="101" t="str">
        <f t="shared" si="106"/>
        <v>ERR</v>
      </c>
      <c r="BC73" s="100"/>
      <c r="BD73" s="100"/>
      <c r="BE73" s="100"/>
      <c r="BF73" s="100"/>
      <c r="BG73" s="100"/>
      <c r="BH73" s="102" t="s">
        <v>217</v>
      </c>
      <c r="BI73" s="103">
        <f t="shared" si="284"/>
        <v>1</v>
      </c>
      <c r="BJ73" s="100"/>
      <c r="BK73" s="100"/>
      <c r="BL73" s="100"/>
      <c r="BM73" s="100"/>
      <c r="BN73" s="100"/>
      <c r="BO73" s="102" t="s">
        <v>217</v>
      </c>
      <c r="BP73" s="100"/>
      <c r="BQ73" s="100"/>
      <c r="BR73" s="100"/>
      <c r="BS73" s="100"/>
      <c r="BT73" s="100"/>
      <c r="BU73" s="74"/>
      <c r="BV73" s="102" t="s">
        <v>217</v>
      </c>
      <c r="BW73" s="100"/>
      <c r="BX73" s="100"/>
      <c r="BY73" s="102" t="s">
        <v>217</v>
      </c>
      <c r="BZ73" s="100"/>
      <c r="CA73" s="100"/>
      <c r="CB73" s="100"/>
      <c r="CC73" s="100"/>
      <c r="CD73" s="100"/>
      <c r="CE73" s="100"/>
      <c r="CF73" s="100"/>
      <c r="CG73" s="102" t="s">
        <v>217</v>
      </c>
      <c r="CH73" s="100"/>
      <c r="CI73" s="103" t="str">
        <f t="shared" si="260"/>
        <v/>
      </c>
      <c r="CJ73" s="103">
        <f t="shared" si="285"/>
        <v>1</v>
      </c>
      <c r="CK73" s="100"/>
      <c r="CL73" s="100"/>
      <c r="CM73" s="102" t="s">
        <v>217</v>
      </c>
      <c r="CN73" s="100"/>
      <c r="CO73" s="100"/>
      <c r="CP73" s="102" t="s">
        <v>217</v>
      </c>
      <c r="CQ73" s="100"/>
      <c r="CR73" s="7"/>
      <c r="CS73" s="7"/>
      <c r="CT73" s="7"/>
      <c r="CU73" s="7"/>
      <c r="CV73" s="95" t="s">
        <v>217</v>
      </c>
      <c r="CW73" s="7"/>
      <c r="CX73" s="7"/>
      <c r="CY73" s="7"/>
      <c r="CZ73" s="7"/>
      <c r="DA73" s="7"/>
      <c r="DB73" s="7"/>
      <c r="DC73" s="7"/>
      <c r="DD73" s="7"/>
      <c r="DE73" s="7"/>
      <c r="DF73" s="7"/>
      <c r="DG73" s="97">
        <f t="shared" si="108"/>
        <v>1</v>
      </c>
      <c r="DH73" s="7"/>
      <c r="DI73" s="95" t="s">
        <v>217</v>
      </c>
      <c r="DJ73" s="7"/>
      <c r="DK73" s="7"/>
      <c r="DL73" s="7"/>
      <c r="DM73" s="97">
        <f t="shared" si="286"/>
        <v>1</v>
      </c>
      <c r="DN73" s="95" t="s">
        <v>217</v>
      </c>
      <c r="DO73" s="95" t="s">
        <v>217</v>
      </c>
      <c r="DP73" s="97" t="str">
        <f t="shared" si="109"/>
        <v>both</v>
      </c>
      <c r="DQ73" s="97" t="str">
        <f t="shared" si="110"/>
        <v/>
      </c>
      <c r="DR73" s="97" t="str">
        <f t="shared" si="111"/>
        <v/>
      </c>
      <c r="DS73" s="100"/>
      <c r="DT73" s="100"/>
      <c r="DU73" s="100"/>
      <c r="DV73" s="100"/>
      <c r="DW73" s="100"/>
      <c r="DX73" s="100"/>
      <c r="DY73" s="103">
        <f t="shared" si="29"/>
        <v>0</v>
      </c>
      <c r="DZ73" s="103" t="str">
        <f t="shared" si="291"/>
        <v/>
      </c>
      <c r="EA73" s="100"/>
      <c r="EB73" s="100"/>
      <c r="EC73" s="100"/>
      <c r="ED73" s="100"/>
      <c r="EE73" s="103">
        <f t="shared" si="30"/>
        <v>0</v>
      </c>
      <c r="EF73" s="103" t="str">
        <f t="shared" si="70"/>
        <v/>
      </c>
      <c r="EG73" s="97" t="str">
        <f t="shared" si="31"/>
        <v/>
      </c>
      <c r="EH73" s="7"/>
      <c r="EI73" s="7"/>
      <c r="EJ73" s="100"/>
      <c r="EK73" s="100"/>
      <c r="EL73" s="100"/>
      <c r="EM73" s="100"/>
      <c r="EN73" s="95" t="s">
        <v>217</v>
      </c>
      <c r="EO73" s="7"/>
      <c r="EP73" s="7"/>
      <c r="EQ73" s="7"/>
      <c r="ER73" s="7"/>
      <c r="ES73" s="7"/>
      <c r="ET73" s="100"/>
      <c r="EU73" s="100"/>
      <c r="EV73" s="100"/>
      <c r="EW73" s="100"/>
      <c r="EX73" s="100"/>
      <c r="EY73" s="7"/>
      <c r="EZ73" s="7"/>
      <c r="FA73" s="7"/>
      <c r="FB73" s="7"/>
      <c r="FC73" s="7"/>
      <c r="FD73" s="7"/>
      <c r="FE73" s="97" t="str">
        <f t="shared" si="32"/>
        <v/>
      </c>
      <c r="FF73" s="7"/>
      <c r="FG73" s="7"/>
      <c r="FH73" s="7"/>
      <c r="FI73" s="7"/>
      <c r="FJ73" s="7"/>
      <c r="FK73" s="7"/>
      <c r="FL73" s="7"/>
      <c r="FM73" s="7"/>
      <c r="FN73" s="7"/>
      <c r="FO73" s="7"/>
      <c r="FP73" s="95" t="s">
        <v>217</v>
      </c>
      <c r="FQ73" s="97" t="str">
        <f t="shared" si="287"/>
        <v/>
      </c>
      <c r="FR73" s="7"/>
      <c r="FS73" s="95" t="s">
        <v>217</v>
      </c>
      <c r="FT73" s="97" t="str">
        <f t="shared" si="288"/>
        <v/>
      </c>
      <c r="FU73" s="97" t="str">
        <f t="shared" si="289"/>
        <v/>
      </c>
      <c r="FV73" s="100"/>
      <c r="FW73" s="7"/>
      <c r="FX73" s="7"/>
      <c r="FY73" s="95" t="s">
        <v>217</v>
      </c>
      <c r="FZ73" s="7"/>
      <c r="GA73" s="7"/>
      <c r="GB73" s="7"/>
      <c r="GC73" s="7"/>
      <c r="GD73" s="7"/>
      <c r="GE73" s="7"/>
      <c r="GF73" s="7"/>
      <c r="GG73" s="7"/>
      <c r="GH73" s="7"/>
      <c r="GI73" s="95" t="s">
        <v>217</v>
      </c>
      <c r="GJ73" s="7"/>
      <c r="GK73" s="7"/>
      <c r="GL73" s="7"/>
      <c r="GM73" s="7"/>
      <c r="GN73" s="95">
        <v>8.0</v>
      </c>
      <c r="GO73" s="95" t="s">
        <v>1030</v>
      </c>
      <c r="GP73" s="121"/>
      <c r="GQ73" s="7"/>
      <c r="GR73" s="7"/>
      <c r="GS73" s="7"/>
      <c r="GT73" s="7"/>
      <c r="GU73" s="61" t="str">
        <f t="shared" si="36"/>
        <v>x</v>
      </c>
      <c r="GV73" s="61" t="str">
        <f t="shared" si="37"/>
        <v/>
      </c>
      <c r="GW73" s="61" t="str">
        <f t="shared" si="38"/>
        <v/>
      </c>
      <c r="GX73" s="61" t="str">
        <f t="shared" si="39"/>
        <v/>
      </c>
      <c r="GY73" s="61" t="str">
        <f t="shared" si="40"/>
        <v/>
      </c>
      <c r="GZ73" s="61" t="str">
        <f t="shared" si="41"/>
        <v/>
      </c>
      <c r="HA73" s="61" t="str">
        <f t="shared" si="42"/>
        <v/>
      </c>
      <c r="HB73" s="61" t="str">
        <f t="shared" si="43"/>
        <v/>
      </c>
      <c r="HC73" s="61" t="str">
        <f t="shared" si="44"/>
        <v/>
      </c>
      <c r="HD73" s="61" t="str">
        <f t="shared" si="45"/>
        <v/>
      </c>
      <c r="HE73" s="61" t="str">
        <f t="shared" si="46"/>
        <v/>
      </c>
      <c r="HF73" s="61" t="str">
        <f t="shared" si="47"/>
        <v>x</v>
      </c>
      <c r="HG73" s="61" t="str">
        <f t="shared" si="48"/>
        <v/>
      </c>
      <c r="HH73" s="61" t="str">
        <f t="shared" si="49"/>
        <v/>
      </c>
      <c r="HI73" s="61" t="str">
        <f t="shared" si="50"/>
        <v/>
      </c>
      <c r="HJ73" s="61" t="str">
        <f t="shared" si="51"/>
        <v/>
      </c>
      <c r="HK73" s="61" t="str">
        <f t="shared" si="52"/>
        <v/>
      </c>
      <c r="HL73" s="61" t="str">
        <f t="shared" si="53"/>
        <v/>
      </c>
      <c r="HM73" s="61" t="str">
        <f t="shared" si="54"/>
        <v/>
      </c>
      <c r="HN73" s="61" t="str">
        <f t="shared" si="55"/>
        <v/>
      </c>
      <c r="HO73" s="61" t="str">
        <f t="shared" si="56"/>
        <v/>
      </c>
      <c r="HP73" s="61" t="str">
        <f t="shared" si="57"/>
        <v/>
      </c>
      <c r="HQ73" s="61" t="str">
        <f t="shared" si="58"/>
        <v/>
      </c>
      <c r="HR73" s="61" t="str">
        <f t="shared" si="59"/>
        <v/>
      </c>
      <c r="HS73" s="61" t="str">
        <f t="shared" si="60"/>
        <v/>
      </c>
      <c r="HT73" s="61" t="str">
        <f t="shared" si="61"/>
        <v/>
      </c>
      <c r="HU73" s="61" t="str">
        <f t="shared" si="62"/>
        <v/>
      </c>
      <c r="HV73" s="61" t="str">
        <f t="shared" si="63"/>
        <v/>
      </c>
      <c r="HW73" s="61" t="str">
        <f t="shared" si="64"/>
        <v/>
      </c>
      <c r="HX73" s="61" t="str">
        <f t="shared" si="65"/>
        <v/>
      </c>
      <c r="HY73" s="61" t="str">
        <f t="shared" si="66"/>
        <v/>
      </c>
      <c r="HZ73" s="61" t="str">
        <f t="shared" si="67"/>
        <v/>
      </c>
    </row>
    <row r="74" ht="1.5" customHeight="1">
      <c r="A74" s="49" t="s">
        <v>1031</v>
      </c>
      <c r="B74" s="95" t="s">
        <v>1032</v>
      </c>
      <c r="C74" s="117" t="s">
        <v>1033</v>
      </c>
      <c r="D74" s="95" t="s">
        <v>209</v>
      </c>
      <c r="E74" s="96" t="str">
        <f t="shared" si="3"/>
        <v/>
      </c>
      <c r="F74" s="95" t="s">
        <v>210</v>
      </c>
      <c r="G74" s="95" t="s">
        <v>211</v>
      </c>
      <c r="H74" s="95">
        <v>2005.0</v>
      </c>
      <c r="I74" s="7"/>
      <c r="J74" s="95" t="s">
        <v>1034</v>
      </c>
      <c r="K74" s="97">
        <f t="shared" si="266"/>
        <v>1</v>
      </c>
      <c r="L74" s="97" t="str">
        <f t="shared" si="267"/>
        <v/>
      </c>
      <c r="M74" s="97" t="str">
        <f t="shared" si="268"/>
        <v/>
      </c>
      <c r="N74" s="97" t="str">
        <f t="shared" si="269"/>
        <v/>
      </c>
      <c r="O74" s="97" t="str">
        <f t="shared" si="270"/>
        <v/>
      </c>
      <c r="P74" s="97" t="str">
        <f t="shared" si="271"/>
        <v/>
      </c>
      <c r="Q74" s="97" t="b">
        <f t="shared" si="261"/>
        <v>1</v>
      </c>
      <c r="R74" s="97" t="b">
        <f t="shared" si="272"/>
        <v>1</v>
      </c>
      <c r="S74" s="95">
        <v>1.0</v>
      </c>
      <c r="T74" s="95">
        <v>1.0</v>
      </c>
      <c r="U74" s="95">
        <v>1.0</v>
      </c>
      <c r="V74" s="97" t="b">
        <f t="shared" si="273"/>
        <v>1</v>
      </c>
      <c r="W74" s="95">
        <v>1.0</v>
      </c>
      <c r="X74" s="95">
        <v>1.0</v>
      </c>
      <c r="Y74" s="95">
        <v>1.0</v>
      </c>
      <c r="Z74" s="7"/>
      <c r="AA74" s="97" t="str">
        <f t="shared" si="274"/>
        <v/>
      </c>
      <c r="AB74" s="97" t="str">
        <f t="shared" si="275"/>
        <v/>
      </c>
      <c r="AC74" s="98" t="s">
        <v>1035</v>
      </c>
      <c r="AD74" s="95" t="s">
        <v>1036</v>
      </c>
      <c r="AE74" s="7"/>
      <c r="AF74" s="97">
        <f>countif('Charts-SLR'!A:A,AD74)</f>
        <v>1</v>
      </c>
      <c r="AG74" s="95" t="s">
        <v>1037</v>
      </c>
      <c r="AH74" s="97">
        <f t="shared" si="276"/>
        <v>0</v>
      </c>
      <c r="AI74" s="95" t="s">
        <v>250</v>
      </c>
      <c r="AJ74" s="95">
        <v>131.0</v>
      </c>
      <c r="AK74" s="99">
        <f t="shared" si="277"/>
        <v>18.71428571</v>
      </c>
      <c r="AL74" s="97" t="str">
        <f t="shared" si="278"/>
        <v/>
      </c>
      <c r="AM74" s="97">
        <f t="shared" si="279"/>
        <v>131</v>
      </c>
      <c r="AN74" s="97" t="str">
        <f t="shared" si="280"/>
        <v/>
      </c>
      <c r="AO74" s="97" t="str">
        <f t="shared" si="281"/>
        <v/>
      </c>
      <c r="AP74" s="97" t="str">
        <f t="shared" si="282"/>
        <v/>
      </c>
      <c r="AQ74" s="97" t="str">
        <f t="shared" si="283"/>
        <v/>
      </c>
      <c r="AR74" s="100"/>
      <c r="AS74" s="100"/>
      <c r="AT74" s="100"/>
      <c r="AU74" s="100"/>
      <c r="AV74" s="100"/>
      <c r="AW74" s="100"/>
      <c r="AX74" s="100"/>
      <c r="AY74" s="100"/>
      <c r="AZ74" s="100"/>
      <c r="BA74" s="100"/>
      <c r="BB74" s="101" t="str">
        <f t="shared" si="106"/>
        <v>ERR</v>
      </c>
      <c r="BC74" s="102" t="s">
        <v>217</v>
      </c>
      <c r="BD74" s="102" t="s">
        <v>217</v>
      </c>
      <c r="BE74" s="100"/>
      <c r="BF74" s="100"/>
      <c r="BG74" s="100"/>
      <c r="BH74" s="100"/>
      <c r="BI74" s="103">
        <f t="shared" si="284"/>
        <v>2</v>
      </c>
      <c r="BJ74" s="100"/>
      <c r="BK74" s="100"/>
      <c r="BL74" s="100"/>
      <c r="BM74" s="100"/>
      <c r="BN74" s="100"/>
      <c r="BO74" s="102" t="s">
        <v>217</v>
      </c>
      <c r="BP74" s="100"/>
      <c r="BQ74" s="100"/>
      <c r="BR74" s="100"/>
      <c r="BS74" s="100"/>
      <c r="BT74" s="100"/>
      <c r="BU74" s="74"/>
      <c r="BV74" s="100"/>
      <c r="BW74" s="102" t="s">
        <v>217</v>
      </c>
      <c r="BX74" s="100"/>
      <c r="BY74" s="102" t="s">
        <v>217</v>
      </c>
      <c r="BZ74" s="100"/>
      <c r="CA74" s="100"/>
      <c r="CB74" s="100"/>
      <c r="CC74" s="100"/>
      <c r="CD74" s="100"/>
      <c r="CE74" s="100"/>
      <c r="CF74" s="100"/>
      <c r="CG74" s="100"/>
      <c r="CH74" s="102" t="s">
        <v>217</v>
      </c>
      <c r="CI74" s="103" t="str">
        <f t="shared" si="260"/>
        <v/>
      </c>
      <c r="CJ74" s="103">
        <f t="shared" si="285"/>
        <v>2</v>
      </c>
      <c r="CK74" s="100"/>
      <c r="CL74" s="100"/>
      <c r="CM74" s="102" t="s">
        <v>217</v>
      </c>
      <c r="CN74" s="102" t="s">
        <v>217</v>
      </c>
      <c r="CO74" s="100"/>
      <c r="CP74" s="100"/>
      <c r="CQ74" s="100"/>
      <c r="CR74" s="7"/>
      <c r="CS74" s="7"/>
      <c r="CT74" s="7"/>
      <c r="CU74" s="7"/>
      <c r="CV74" s="7"/>
      <c r="CW74" s="7"/>
      <c r="CX74" s="95" t="s">
        <v>217</v>
      </c>
      <c r="CY74" s="7"/>
      <c r="CZ74" s="7"/>
      <c r="DA74" s="7"/>
      <c r="DB74" s="95" t="s">
        <v>217</v>
      </c>
      <c r="DC74" s="7"/>
      <c r="DD74" s="7"/>
      <c r="DE74" s="7"/>
      <c r="DF74" s="7"/>
      <c r="DG74" s="97">
        <f t="shared" si="108"/>
        <v>2</v>
      </c>
      <c r="DH74" s="7"/>
      <c r="DI74" s="7"/>
      <c r="DJ74" s="7"/>
      <c r="DK74" s="7"/>
      <c r="DL74" s="98" t="s">
        <v>217</v>
      </c>
      <c r="DM74" s="97">
        <f t="shared" si="286"/>
        <v>1</v>
      </c>
      <c r="DN74" s="7"/>
      <c r="DO74" s="95" t="s">
        <v>217</v>
      </c>
      <c r="DP74" s="97" t="str">
        <f t="shared" si="109"/>
        <v/>
      </c>
      <c r="DQ74" s="97" t="str">
        <f t="shared" si="110"/>
        <v/>
      </c>
      <c r="DR74" s="97" t="str">
        <f t="shared" si="111"/>
        <v>FA</v>
      </c>
      <c r="DS74" s="100"/>
      <c r="DT74" s="100"/>
      <c r="DU74" s="100"/>
      <c r="DV74" s="100"/>
      <c r="DW74" s="100"/>
      <c r="DX74" s="100"/>
      <c r="DY74" s="103">
        <f t="shared" si="29"/>
        <v>0</v>
      </c>
      <c r="DZ74" s="103" t="str">
        <f t="shared" si="291"/>
        <v/>
      </c>
      <c r="EA74" s="100"/>
      <c r="EB74" s="100"/>
      <c r="EC74" s="100"/>
      <c r="ED74" s="100"/>
      <c r="EE74" s="103">
        <f t="shared" si="30"/>
        <v>0</v>
      </c>
      <c r="EF74" s="103" t="str">
        <f t="shared" si="70"/>
        <v/>
      </c>
      <c r="EG74" s="97" t="str">
        <f t="shared" si="31"/>
        <v/>
      </c>
      <c r="EH74" s="7"/>
      <c r="EI74" s="7"/>
      <c r="EJ74" s="100"/>
      <c r="EK74" s="100"/>
      <c r="EL74" s="100"/>
      <c r="EM74" s="100"/>
      <c r="EN74" s="7"/>
      <c r="EO74" s="95" t="s">
        <v>217</v>
      </c>
      <c r="EP74" s="7"/>
      <c r="EQ74" s="7"/>
      <c r="ER74" s="7"/>
      <c r="ES74" s="7"/>
      <c r="ET74" s="100"/>
      <c r="EU74" s="100"/>
      <c r="EV74" s="100"/>
      <c r="EW74" s="100"/>
      <c r="EX74" s="100"/>
      <c r="EY74" s="7"/>
      <c r="EZ74" s="7"/>
      <c r="FA74" s="7"/>
      <c r="FB74" s="7"/>
      <c r="FC74" s="7"/>
      <c r="FD74" s="7"/>
      <c r="FE74" s="97" t="str">
        <f t="shared" si="32"/>
        <v/>
      </c>
      <c r="FF74" s="7"/>
      <c r="FG74" s="7"/>
      <c r="FH74" s="7"/>
      <c r="FI74" s="7"/>
      <c r="FJ74" s="7"/>
      <c r="FK74" s="7"/>
      <c r="FL74" s="7"/>
      <c r="FM74" s="7"/>
      <c r="FN74" s="7"/>
      <c r="FO74" s="7"/>
      <c r="FP74" s="95" t="s">
        <v>217</v>
      </c>
      <c r="FQ74" s="97" t="str">
        <f t="shared" si="287"/>
        <v/>
      </c>
      <c r="FR74" s="95" t="s">
        <v>217</v>
      </c>
      <c r="FS74" s="7"/>
      <c r="FT74" s="97" t="str">
        <f t="shared" si="288"/>
        <v/>
      </c>
      <c r="FU74" s="97" t="str">
        <f t="shared" si="289"/>
        <v/>
      </c>
      <c r="FV74" s="100"/>
      <c r="FW74" s="7"/>
      <c r="FX74" s="7"/>
      <c r="FY74" s="7"/>
      <c r="FZ74" s="95" t="s">
        <v>217</v>
      </c>
      <c r="GA74" s="7"/>
      <c r="GB74" s="7"/>
      <c r="GC74" s="95" t="s">
        <v>217</v>
      </c>
      <c r="GD74" s="7"/>
      <c r="GE74" s="7"/>
      <c r="GF74" s="7"/>
      <c r="GG74" s="7"/>
      <c r="GH74" s="7"/>
      <c r="GI74" s="7"/>
      <c r="GJ74" s="7"/>
      <c r="GK74" s="7"/>
      <c r="GL74" s="95" t="s">
        <v>1038</v>
      </c>
      <c r="GM74" s="7"/>
      <c r="GN74" s="95">
        <v>6.0</v>
      </c>
      <c r="GO74" s="95" t="s">
        <v>1039</v>
      </c>
      <c r="GP74" s="105">
        <v>13230.0</v>
      </c>
      <c r="GQ74" s="7"/>
      <c r="GR74" s="7"/>
      <c r="GS74" s="95" t="s">
        <v>217</v>
      </c>
      <c r="GT74" s="7"/>
      <c r="GU74" s="61" t="str">
        <f t="shared" si="36"/>
        <v/>
      </c>
      <c r="GV74" s="61" t="str">
        <f t="shared" si="37"/>
        <v/>
      </c>
      <c r="GW74" s="61" t="str">
        <f t="shared" si="38"/>
        <v/>
      </c>
      <c r="GX74" s="61" t="str">
        <f t="shared" si="39"/>
        <v/>
      </c>
      <c r="GY74" s="61" t="str">
        <f t="shared" si="40"/>
        <v/>
      </c>
      <c r="GZ74" s="61" t="str">
        <f t="shared" si="41"/>
        <v/>
      </c>
      <c r="HA74" s="61" t="str">
        <f t="shared" si="42"/>
        <v/>
      </c>
      <c r="HB74" s="61" t="str">
        <f t="shared" si="43"/>
        <v/>
      </c>
      <c r="HC74" s="61" t="str">
        <f t="shared" si="44"/>
        <v/>
      </c>
      <c r="HD74" s="61" t="str">
        <f t="shared" si="45"/>
        <v/>
      </c>
      <c r="HE74" s="61" t="str">
        <f t="shared" si="46"/>
        <v/>
      </c>
      <c r="HF74" s="61" t="str">
        <f t="shared" si="47"/>
        <v/>
      </c>
      <c r="HG74" s="61" t="str">
        <f t="shared" si="48"/>
        <v/>
      </c>
      <c r="HH74" s="61" t="str">
        <f t="shared" si="49"/>
        <v/>
      </c>
      <c r="HI74" s="61" t="str">
        <f t="shared" si="50"/>
        <v/>
      </c>
      <c r="HJ74" s="61" t="str">
        <f t="shared" si="51"/>
        <v/>
      </c>
      <c r="HK74" s="61" t="str">
        <f t="shared" si="52"/>
        <v/>
      </c>
      <c r="HL74" s="61" t="str">
        <f t="shared" si="53"/>
        <v/>
      </c>
      <c r="HM74" s="61" t="str">
        <f t="shared" si="54"/>
        <v/>
      </c>
      <c r="HN74" s="61" t="str">
        <f t="shared" si="55"/>
        <v/>
      </c>
      <c r="HO74" s="61" t="str">
        <f t="shared" si="56"/>
        <v/>
      </c>
      <c r="HP74" s="61" t="str">
        <f t="shared" si="57"/>
        <v/>
      </c>
      <c r="HQ74" s="61" t="str">
        <f t="shared" si="58"/>
        <v/>
      </c>
      <c r="HR74" s="61" t="str">
        <f t="shared" si="59"/>
        <v/>
      </c>
      <c r="HS74" s="61" t="str">
        <f t="shared" si="60"/>
        <v/>
      </c>
      <c r="HT74" s="61" t="str">
        <f t="shared" si="61"/>
        <v/>
      </c>
      <c r="HU74" s="61" t="str">
        <f t="shared" si="62"/>
        <v/>
      </c>
      <c r="HV74" s="61" t="str">
        <f t="shared" si="63"/>
        <v/>
      </c>
      <c r="HW74" s="61" t="str">
        <f t="shared" si="64"/>
        <v/>
      </c>
      <c r="HX74" s="61" t="str">
        <f t="shared" si="65"/>
        <v/>
      </c>
      <c r="HY74" s="61" t="str">
        <f t="shared" si="66"/>
        <v/>
      </c>
      <c r="HZ74" s="61" t="str">
        <f t="shared" si="67"/>
        <v/>
      </c>
    </row>
    <row r="75" ht="1.5" customHeight="1">
      <c r="A75" s="49" t="s">
        <v>1040</v>
      </c>
      <c r="B75" s="95" t="s">
        <v>1041</v>
      </c>
      <c r="C75" s="117" t="s">
        <v>1042</v>
      </c>
      <c r="D75" s="95" t="s">
        <v>245</v>
      </c>
      <c r="E75" s="96" t="str">
        <f t="shared" si="3"/>
        <v/>
      </c>
      <c r="F75" s="95" t="s">
        <v>210</v>
      </c>
      <c r="G75" s="95" t="s">
        <v>211</v>
      </c>
      <c r="H75" s="95">
        <v>2011.0</v>
      </c>
      <c r="I75" s="7"/>
      <c r="J75" s="95" t="s">
        <v>1043</v>
      </c>
      <c r="K75" s="97" t="str">
        <f t="shared" si="266"/>
        <v/>
      </c>
      <c r="L75" s="97" t="str">
        <f t="shared" si="267"/>
        <v/>
      </c>
      <c r="M75" s="97" t="str">
        <f t="shared" si="268"/>
        <v/>
      </c>
      <c r="N75" s="97" t="str">
        <f t="shared" si="269"/>
        <v/>
      </c>
      <c r="O75" s="97">
        <f t="shared" si="270"/>
        <v>1</v>
      </c>
      <c r="P75" s="97" t="str">
        <f t="shared" si="271"/>
        <v/>
      </c>
      <c r="Q75" s="97" t="b">
        <f t="shared" si="261"/>
        <v>1</v>
      </c>
      <c r="R75" s="97" t="b">
        <f t="shared" si="272"/>
        <v>1</v>
      </c>
      <c r="S75" s="95">
        <v>1.0</v>
      </c>
      <c r="T75" s="95">
        <v>1.0</v>
      </c>
      <c r="U75" s="95">
        <v>1.0</v>
      </c>
      <c r="V75" s="97" t="b">
        <f t="shared" si="273"/>
        <v>1</v>
      </c>
      <c r="W75" s="95">
        <v>1.0</v>
      </c>
      <c r="X75" s="95">
        <v>1.0</v>
      </c>
      <c r="Y75" s="95">
        <v>1.0</v>
      </c>
      <c r="Z75" s="7"/>
      <c r="AA75" s="97" t="str">
        <f t="shared" si="274"/>
        <v/>
      </c>
      <c r="AB75" s="97" t="str">
        <f t="shared" si="275"/>
        <v/>
      </c>
      <c r="AC75" s="98" t="s">
        <v>1044</v>
      </c>
      <c r="AD75" s="95" t="s">
        <v>266</v>
      </c>
      <c r="AE75" s="7"/>
      <c r="AF75" s="97">
        <f>countif('Charts-SLR'!A:A,AD75)</f>
        <v>1</v>
      </c>
      <c r="AG75" s="95" t="s">
        <v>1037</v>
      </c>
      <c r="AH75" s="97">
        <f t="shared" si="276"/>
        <v>0</v>
      </c>
      <c r="AI75" s="95" t="s">
        <v>250</v>
      </c>
      <c r="AJ75" s="95">
        <v>2.0</v>
      </c>
      <c r="AK75" s="99">
        <f t="shared" si="277"/>
        <v>2</v>
      </c>
      <c r="AL75" s="97" t="str">
        <f t="shared" si="278"/>
        <v/>
      </c>
      <c r="AM75" s="97">
        <f t="shared" si="279"/>
        <v>2</v>
      </c>
      <c r="AN75" s="97" t="str">
        <f t="shared" si="280"/>
        <v/>
      </c>
      <c r="AO75" s="97" t="str">
        <f t="shared" si="281"/>
        <v/>
      </c>
      <c r="AP75" s="97" t="str">
        <f t="shared" si="282"/>
        <v/>
      </c>
      <c r="AQ75" s="97" t="str">
        <f t="shared" si="283"/>
        <v/>
      </c>
      <c r="AR75" s="100"/>
      <c r="AS75" s="100"/>
      <c r="AT75" s="100"/>
      <c r="AU75" s="100"/>
      <c r="AV75" s="100"/>
      <c r="AW75" s="100"/>
      <c r="AX75" s="100"/>
      <c r="AY75" s="100"/>
      <c r="AZ75" s="100"/>
      <c r="BA75" s="100"/>
      <c r="BB75" s="101" t="str">
        <f t="shared" si="106"/>
        <v>ERR</v>
      </c>
      <c r="BC75" s="102" t="s">
        <v>217</v>
      </c>
      <c r="BD75" s="100"/>
      <c r="BE75" s="100"/>
      <c r="BF75" s="100"/>
      <c r="BG75" s="100"/>
      <c r="BH75" s="100"/>
      <c r="BI75" s="103">
        <f t="shared" si="284"/>
        <v>1</v>
      </c>
      <c r="BJ75" s="100"/>
      <c r="BK75" s="100"/>
      <c r="BL75" s="100"/>
      <c r="BM75" s="100"/>
      <c r="BN75" s="100"/>
      <c r="BO75" s="102" t="s">
        <v>217</v>
      </c>
      <c r="BP75" s="100"/>
      <c r="BQ75" s="100"/>
      <c r="BR75" s="100"/>
      <c r="BS75" s="100"/>
      <c r="BT75" s="100"/>
      <c r="BU75" s="74"/>
      <c r="BV75" s="100"/>
      <c r="BW75" s="102" t="s">
        <v>217</v>
      </c>
      <c r="BX75" s="100"/>
      <c r="BY75" s="100"/>
      <c r="BZ75" s="100"/>
      <c r="CA75" s="100"/>
      <c r="CB75" s="100"/>
      <c r="CC75" s="100"/>
      <c r="CD75" s="100"/>
      <c r="CE75" s="102" t="s">
        <v>217</v>
      </c>
      <c r="CF75" s="102" t="s">
        <v>1045</v>
      </c>
      <c r="CG75" s="100"/>
      <c r="CH75" s="100"/>
      <c r="CI75" s="103" t="str">
        <f t="shared" si="260"/>
        <v/>
      </c>
      <c r="CJ75" s="103">
        <f t="shared" si="285"/>
        <v>3</v>
      </c>
      <c r="CK75" s="102" t="s">
        <v>217</v>
      </c>
      <c r="CL75" s="100"/>
      <c r="CM75" s="100"/>
      <c r="CN75" s="102" t="s">
        <v>217</v>
      </c>
      <c r="CO75" s="100"/>
      <c r="CP75" s="100"/>
      <c r="CQ75" s="100"/>
      <c r="CR75" s="7"/>
      <c r="CS75" s="7"/>
      <c r="CT75" s="7"/>
      <c r="CU75" s="7"/>
      <c r="CV75" s="7"/>
      <c r="CW75" s="7"/>
      <c r="CX75" s="95" t="s">
        <v>217</v>
      </c>
      <c r="CY75" s="7"/>
      <c r="CZ75" s="7"/>
      <c r="DA75" s="7"/>
      <c r="DB75" s="7"/>
      <c r="DC75" s="7"/>
      <c r="DD75" s="7"/>
      <c r="DE75" s="7"/>
      <c r="DF75" s="7"/>
      <c r="DG75" s="97">
        <f t="shared" si="108"/>
        <v>1</v>
      </c>
      <c r="DH75" s="7"/>
      <c r="DI75" s="7"/>
      <c r="DJ75" s="7"/>
      <c r="DK75" s="7"/>
      <c r="DL75" s="98" t="s">
        <v>1046</v>
      </c>
      <c r="DM75" s="97">
        <f t="shared" si="286"/>
        <v>1</v>
      </c>
      <c r="DN75" s="7"/>
      <c r="DO75" s="95" t="s">
        <v>217</v>
      </c>
      <c r="DP75" s="97" t="str">
        <f t="shared" si="109"/>
        <v/>
      </c>
      <c r="DQ75" s="97" t="str">
        <f t="shared" si="110"/>
        <v/>
      </c>
      <c r="DR75" s="97" t="str">
        <f t="shared" si="111"/>
        <v>FA</v>
      </c>
      <c r="DS75" s="100"/>
      <c r="DT75" s="100"/>
      <c r="DU75" s="100"/>
      <c r="DV75" s="100"/>
      <c r="DW75" s="100"/>
      <c r="DX75" s="100"/>
      <c r="DY75" s="103">
        <f t="shared" si="29"/>
        <v>0</v>
      </c>
      <c r="DZ75" s="103" t="str">
        <f t="shared" si="291"/>
        <v/>
      </c>
      <c r="EA75" s="102" t="s">
        <v>217</v>
      </c>
      <c r="EB75" s="100"/>
      <c r="EC75" s="100"/>
      <c r="ED75" s="100"/>
      <c r="EE75" s="103">
        <f t="shared" si="30"/>
        <v>1</v>
      </c>
      <c r="EF75" s="103" t="str">
        <f t="shared" si="70"/>
        <v/>
      </c>
      <c r="EG75" s="97" t="str">
        <f t="shared" si="31"/>
        <v/>
      </c>
      <c r="EH75" s="7"/>
      <c r="EI75" s="7"/>
      <c r="EJ75" s="100"/>
      <c r="EK75" s="100"/>
      <c r="EL75" s="100"/>
      <c r="EM75" s="100"/>
      <c r="EN75" s="7"/>
      <c r="EO75" s="95" t="s">
        <v>217</v>
      </c>
      <c r="EP75" s="95" t="s">
        <v>217</v>
      </c>
      <c r="EQ75" s="7"/>
      <c r="ER75" s="7"/>
      <c r="ES75" s="7"/>
      <c r="ET75" s="100"/>
      <c r="EU75" s="100"/>
      <c r="EV75" s="100"/>
      <c r="EW75" s="100"/>
      <c r="EX75" s="100"/>
      <c r="EY75" s="7"/>
      <c r="EZ75" s="7"/>
      <c r="FA75" s="7"/>
      <c r="FB75" s="7"/>
      <c r="FC75" s="7"/>
      <c r="FD75" s="7"/>
      <c r="FE75" s="97" t="str">
        <f t="shared" si="32"/>
        <v/>
      </c>
      <c r="FF75" s="7"/>
      <c r="FG75" s="7"/>
      <c r="FH75" s="7"/>
      <c r="FI75" s="7"/>
      <c r="FJ75" s="7"/>
      <c r="FK75" s="7"/>
      <c r="FL75" s="7"/>
      <c r="FM75" s="7"/>
      <c r="FN75" s="7"/>
      <c r="FO75" s="7"/>
      <c r="FP75" s="95" t="s">
        <v>217</v>
      </c>
      <c r="FQ75" s="97" t="str">
        <f t="shared" si="287"/>
        <v/>
      </c>
      <c r="FR75" s="7"/>
      <c r="FS75" s="95" t="s">
        <v>217</v>
      </c>
      <c r="FT75" s="97" t="str">
        <f t="shared" si="288"/>
        <v/>
      </c>
      <c r="FU75" s="97" t="str">
        <f t="shared" si="289"/>
        <v/>
      </c>
      <c r="FV75" s="100"/>
      <c r="FW75" s="7"/>
      <c r="FX75" s="7"/>
      <c r="FY75" s="7"/>
      <c r="FZ75" s="7"/>
      <c r="GA75" s="95" t="s">
        <v>217</v>
      </c>
      <c r="GB75" s="7"/>
      <c r="GC75" s="95" t="s">
        <v>217</v>
      </c>
      <c r="GD75" s="95" t="s">
        <v>217</v>
      </c>
      <c r="GE75" s="7"/>
      <c r="GF75" s="7"/>
      <c r="GG75" s="7"/>
      <c r="GH75" s="7"/>
      <c r="GI75" s="7"/>
      <c r="GJ75" s="7"/>
      <c r="GK75" s="7"/>
      <c r="GL75" s="7"/>
      <c r="GM75" s="7"/>
      <c r="GN75" s="95">
        <v>9.0</v>
      </c>
      <c r="GO75" s="95" t="s">
        <v>1047</v>
      </c>
      <c r="GP75" s="105">
        <v>117919.0</v>
      </c>
      <c r="GQ75" s="95" t="s">
        <v>1048</v>
      </c>
      <c r="GR75" s="7"/>
      <c r="GS75" s="95" t="s">
        <v>217</v>
      </c>
      <c r="GT75" s="95" t="s">
        <v>217</v>
      </c>
      <c r="GU75" s="61" t="str">
        <f t="shared" si="36"/>
        <v/>
      </c>
      <c r="GV75" s="61" t="str">
        <f t="shared" si="37"/>
        <v/>
      </c>
      <c r="GW75" s="61" t="str">
        <f t="shared" si="38"/>
        <v/>
      </c>
      <c r="GX75" s="61" t="str">
        <f t="shared" si="39"/>
        <v/>
      </c>
      <c r="GY75" s="61" t="str">
        <f t="shared" si="40"/>
        <v/>
      </c>
      <c r="GZ75" s="61" t="str">
        <f t="shared" si="41"/>
        <v/>
      </c>
      <c r="HA75" s="61" t="str">
        <f t="shared" si="42"/>
        <v/>
      </c>
      <c r="HB75" s="61" t="str">
        <f t="shared" si="43"/>
        <v/>
      </c>
      <c r="HC75" s="61" t="str">
        <f t="shared" si="44"/>
        <v/>
      </c>
      <c r="HD75" s="61" t="str">
        <f t="shared" si="45"/>
        <v/>
      </c>
      <c r="HE75" s="61" t="str">
        <f t="shared" si="46"/>
        <v/>
      </c>
      <c r="HF75" s="61" t="str">
        <f t="shared" si="47"/>
        <v/>
      </c>
      <c r="HG75" s="61" t="str">
        <f t="shared" si="48"/>
        <v/>
      </c>
      <c r="HH75" s="61" t="str">
        <f t="shared" si="49"/>
        <v>x</v>
      </c>
      <c r="HI75" s="61" t="str">
        <f t="shared" si="50"/>
        <v/>
      </c>
      <c r="HJ75" s="61" t="str">
        <f t="shared" si="51"/>
        <v/>
      </c>
      <c r="HK75" s="61" t="str">
        <f t="shared" si="52"/>
        <v/>
      </c>
      <c r="HL75" s="61" t="str">
        <f t="shared" si="53"/>
        <v/>
      </c>
      <c r="HM75" s="61" t="str">
        <f t="shared" si="54"/>
        <v/>
      </c>
      <c r="HN75" s="61" t="str">
        <f t="shared" si="55"/>
        <v/>
      </c>
      <c r="HO75" s="61" t="str">
        <f t="shared" si="56"/>
        <v/>
      </c>
      <c r="HP75" s="61" t="str">
        <f t="shared" si="57"/>
        <v/>
      </c>
      <c r="HQ75" s="61" t="str">
        <f t="shared" si="58"/>
        <v/>
      </c>
      <c r="HR75" s="61" t="str">
        <f t="shared" si="59"/>
        <v/>
      </c>
      <c r="HS75" s="61" t="str">
        <f t="shared" si="60"/>
        <v/>
      </c>
      <c r="HT75" s="61" t="str">
        <f t="shared" si="61"/>
        <v/>
      </c>
      <c r="HU75" s="61" t="str">
        <f t="shared" si="62"/>
        <v/>
      </c>
      <c r="HV75" s="61" t="str">
        <f t="shared" si="63"/>
        <v/>
      </c>
      <c r="HW75" s="61" t="str">
        <f t="shared" si="64"/>
        <v/>
      </c>
      <c r="HX75" s="61" t="str">
        <f t="shared" si="65"/>
        <v/>
      </c>
      <c r="HY75" s="61" t="str">
        <f t="shared" si="66"/>
        <v/>
      </c>
      <c r="HZ75" s="61" t="str">
        <f t="shared" si="67"/>
        <v/>
      </c>
    </row>
    <row r="76" ht="1.5" customHeight="1">
      <c r="A76" s="49" t="s">
        <v>1049</v>
      </c>
      <c r="B76" s="95" t="s">
        <v>1050</v>
      </c>
      <c r="C76" s="117" t="s">
        <v>1051</v>
      </c>
      <c r="D76" s="95" t="s">
        <v>209</v>
      </c>
      <c r="E76" s="96" t="str">
        <f t="shared" si="3"/>
        <v/>
      </c>
      <c r="F76" s="95" t="s">
        <v>210</v>
      </c>
      <c r="G76" s="95" t="s">
        <v>211</v>
      </c>
      <c r="H76" s="95">
        <v>2004.0</v>
      </c>
      <c r="I76" s="7"/>
      <c r="J76" s="95" t="s">
        <v>1052</v>
      </c>
      <c r="K76" s="97">
        <f t="shared" si="266"/>
        <v>1</v>
      </c>
      <c r="L76" s="97" t="str">
        <f t="shared" si="267"/>
        <v/>
      </c>
      <c r="M76" s="97" t="str">
        <f t="shared" si="268"/>
        <v/>
      </c>
      <c r="N76" s="97" t="str">
        <f t="shared" si="269"/>
        <v/>
      </c>
      <c r="O76" s="97" t="str">
        <f t="shared" si="270"/>
        <v/>
      </c>
      <c r="P76" s="97" t="str">
        <f t="shared" si="271"/>
        <v/>
      </c>
      <c r="Q76" s="97" t="b">
        <f t="shared" si="261"/>
        <v>1</v>
      </c>
      <c r="R76" s="97" t="b">
        <f t="shared" si="272"/>
        <v>1</v>
      </c>
      <c r="S76" s="95">
        <v>1.0</v>
      </c>
      <c r="T76" s="95">
        <v>1.0</v>
      </c>
      <c r="U76" s="95">
        <v>1.0</v>
      </c>
      <c r="V76" s="97" t="b">
        <f t="shared" si="273"/>
        <v>1</v>
      </c>
      <c r="W76" s="95">
        <v>1.0</v>
      </c>
      <c r="X76" s="95">
        <v>1.0</v>
      </c>
      <c r="Y76" s="95">
        <v>1.0</v>
      </c>
      <c r="Z76" s="7"/>
      <c r="AA76" s="97" t="str">
        <f t="shared" si="274"/>
        <v/>
      </c>
      <c r="AB76" s="97" t="str">
        <f t="shared" si="275"/>
        <v/>
      </c>
      <c r="AC76" s="98" t="s">
        <v>213</v>
      </c>
      <c r="AD76" s="95" t="s">
        <v>214</v>
      </c>
      <c r="AE76" s="7"/>
      <c r="AF76" s="97">
        <f>countif('Charts-SLR'!A:A,AD76)</f>
        <v>1</v>
      </c>
      <c r="AG76" s="95" t="s">
        <v>1053</v>
      </c>
      <c r="AH76" s="97">
        <f t="shared" si="276"/>
        <v>0</v>
      </c>
      <c r="AI76" s="95" t="s">
        <v>231</v>
      </c>
      <c r="AJ76" s="95">
        <v>27.0</v>
      </c>
      <c r="AK76" s="99">
        <f t="shared" si="277"/>
        <v>3.375</v>
      </c>
      <c r="AL76" s="97">
        <f t="shared" si="278"/>
        <v>27</v>
      </c>
      <c r="AM76" s="97" t="str">
        <f t="shared" si="279"/>
        <v/>
      </c>
      <c r="AN76" s="97" t="str">
        <f t="shared" si="280"/>
        <v/>
      </c>
      <c r="AO76" s="97" t="str">
        <f t="shared" si="281"/>
        <v/>
      </c>
      <c r="AP76" s="97" t="str">
        <f t="shared" si="282"/>
        <v/>
      </c>
      <c r="AQ76" s="97" t="str">
        <f t="shared" si="283"/>
        <v/>
      </c>
      <c r="AR76" s="100"/>
      <c r="AS76" s="100"/>
      <c r="AT76" s="100"/>
      <c r="AU76" s="100"/>
      <c r="AV76" s="100"/>
      <c r="AW76" s="100"/>
      <c r="AX76" s="100"/>
      <c r="AY76" s="100"/>
      <c r="AZ76" s="100"/>
      <c r="BA76" s="100"/>
      <c r="BB76" s="101" t="str">
        <f t="shared" si="106"/>
        <v>ERR</v>
      </c>
      <c r="BC76" s="102" t="s">
        <v>217</v>
      </c>
      <c r="BD76" s="102" t="s">
        <v>217</v>
      </c>
      <c r="BE76" s="100"/>
      <c r="BF76" s="100"/>
      <c r="BG76" s="100"/>
      <c r="BH76" s="100"/>
      <c r="BI76" s="103">
        <f t="shared" si="284"/>
        <v>2</v>
      </c>
      <c r="BJ76" s="100"/>
      <c r="BK76" s="100"/>
      <c r="BL76" s="100"/>
      <c r="BM76" s="100"/>
      <c r="BN76" s="100"/>
      <c r="BO76" s="102" t="s">
        <v>217</v>
      </c>
      <c r="BP76" s="100"/>
      <c r="BQ76" s="100"/>
      <c r="BR76" s="100"/>
      <c r="BS76" s="100"/>
      <c r="BT76" s="100"/>
      <c r="BU76" s="74"/>
      <c r="BV76" s="102" t="s">
        <v>217</v>
      </c>
      <c r="BW76" s="100"/>
      <c r="BX76" s="100"/>
      <c r="BY76" s="102" t="s">
        <v>217</v>
      </c>
      <c r="BZ76" s="100"/>
      <c r="CA76" s="102" t="s">
        <v>217</v>
      </c>
      <c r="CB76" s="102" t="s">
        <v>217</v>
      </c>
      <c r="CC76" s="100"/>
      <c r="CD76" s="100"/>
      <c r="CE76" s="100"/>
      <c r="CF76" s="100"/>
      <c r="CG76" s="100"/>
      <c r="CH76" s="102" t="s">
        <v>217</v>
      </c>
      <c r="CI76" s="103" t="str">
        <f t="shared" si="260"/>
        <v/>
      </c>
      <c r="CJ76" s="103">
        <f t="shared" si="285"/>
        <v>2</v>
      </c>
      <c r="CK76" s="100"/>
      <c r="CL76" s="100"/>
      <c r="CM76" s="102" t="s">
        <v>217</v>
      </c>
      <c r="CN76" s="100"/>
      <c r="CO76" s="100"/>
      <c r="CP76" s="100"/>
      <c r="CQ76" s="100"/>
      <c r="CR76" s="95" t="s">
        <v>217</v>
      </c>
      <c r="CS76" s="95" t="s">
        <v>217</v>
      </c>
      <c r="CT76" s="7"/>
      <c r="CU76" s="7"/>
      <c r="CV76" s="7"/>
      <c r="CW76" s="7"/>
      <c r="CX76" s="7"/>
      <c r="CY76" s="7"/>
      <c r="CZ76" s="95" t="s">
        <v>217</v>
      </c>
      <c r="DA76" s="7"/>
      <c r="DB76" s="7"/>
      <c r="DC76" s="7"/>
      <c r="DD76" s="7"/>
      <c r="DE76" s="95" t="s">
        <v>217</v>
      </c>
      <c r="DF76" s="7"/>
      <c r="DG76" s="97">
        <f t="shared" si="108"/>
        <v>2</v>
      </c>
      <c r="DH76" s="95" t="s">
        <v>217</v>
      </c>
      <c r="DI76" s="7"/>
      <c r="DJ76" s="7"/>
      <c r="DK76" s="7"/>
      <c r="DL76" s="7"/>
      <c r="DM76" s="97">
        <f t="shared" si="286"/>
        <v>1</v>
      </c>
      <c r="DN76" s="7"/>
      <c r="DO76" s="95" t="s">
        <v>217</v>
      </c>
      <c r="DP76" s="97" t="str">
        <f t="shared" si="109"/>
        <v/>
      </c>
      <c r="DQ76" s="97" t="str">
        <f t="shared" si="110"/>
        <v/>
      </c>
      <c r="DR76" s="97" t="str">
        <f t="shared" si="111"/>
        <v>FA</v>
      </c>
      <c r="DS76" s="100"/>
      <c r="DT76" s="100"/>
      <c r="DU76" s="100"/>
      <c r="DV76" s="100"/>
      <c r="DW76" s="100"/>
      <c r="DX76" s="100"/>
      <c r="DY76" s="103">
        <f t="shared" si="29"/>
        <v>0</v>
      </c>
      <c r="DZ76" s="103" t="str">
        <f t="shared" si="291"/>
        <v/>
      </c>
      <c r="EA76" s="100"/>
      <c r="EB76" s="100"/>
      <c r="EC76" s="100"/>
      <c r="ED76" s="100"/>
      <c r="EE76" s="103">
        <f t="shared" si="30"/>
        <v>0</v>
      </c>
      <c r="EF76" s="103" t="str">
        <f t="shared" si="70"/>
        <v/>
      </c>
      <c r="EG76" s="97" t="str">
        <f t="shared" si="31"/>
        <v/>
      </c>
      <c r="EH76" s="7"/>
      <c r="EI76" s="7"/>
      <c r="EJ76" s="100"/>
      <c r="EK76" s="100"/>
      <c r="EL76" s="100"/>
      <c r="EM76" s="100"/>
      <c r="EN76" s="7"/>
      <c r="EO76" s="95" t="s">
        <v>217</v>
      </c>
      <c r="EP76" s="7"/>
      <c r="EQ76" s="7"/>
      <c r="ER76" s="7"/>
      <c r="ES76" s="7"/>
      <c r="ET76" s="100"/>
      <c r="EU76" s="100"/>
      <c r="EV76" s="100"/>
      <c r="EW76" s="100"/>
      <c r="EX76" s="100"/>
      <c r="EY76" s="7"/>
      <c r="EZ76" s="7"/>
      <c r="FA76" s="7"/>
      <c r="FB76" s="7"/>
      <c r="FC76" s="7"/>
      <c r="FD76" s="7"/>
      <c r="FE76" s="97" t="str">
        <f t="shared" si="32"/>
        <v/>
      </c>
      <c r="FF76" s="7"/>
      <c r="FG76" s="7"/>
      <c r="FH76" s="7"/>
      <c r="FI76" s="7"/>
      <c r="FJ76" s="7"/>
      <c r="FK76" s="7"/>
      <c r="FL76" s="7"/>
      <c r="FM76" s="7"/>
      <c r="FN76" s="7"/>
      <c r="FO76" s="7"/>
      <c r="FP76" s="95" t="s">
        <v>217</v>
      </c>
      <c r="FQ76" s="97" t="str">
        <f t="shared" si="287"/>
        <v/>
      </c>
      <c r="FR76" s="95" t="s">
        <v>217</v>
      </c>
      <c r="FS76" s="7"/>
      <c r="FT76" s="97" t="str">
        <f t="shared" si="288"/>
        <v/>
      </c>
      <c r="FU76" s="97" t="str">
        <f t="shared" si="289"/>
        <v/>
      </c>
      <c r="FV76" s="100"/>
      <c r="FW76" s="7"/>
      <c r="FX76" s="7"/>
      <c r="FY76" s="7"/>
      <c r="FZ76" s="95" t="s">
        <v>217</v>
      </c>
      <c r="GA76" s="7"/>
      <c r="GB76" s="7"/>
      <c r="GC76" s="7"/>
      <c r="GD76" s="7"/>
      <c r="GE76" s="7"/>
      <c r="GF76" s="7"/>
      <c r="GG76" s="7"/>
      <c r="GH76" s="7"/>
      <c r="GI76" s="7"/>
      <c r="GJ76" s="7"/>
      <c r="GK76" s="95" t="s">
        <v>1054</v>
      </c>
      <c r="GL76" s="95" t="s">
        <v>1055</v>
      </c>
      <c r="GM76" s="7"/>
      <c r="GN76" s="95">
        <v>1.0</v>
      </c>
      <c r="GO76" s="95" t="s">
        <v>1056</v>
      </c>
      <c r="GP76" s="121"/>
      <c r="GQ76" s="95" t="s">
        <v>1057</v>
      </c>
      <c r="GR76" s="7"/>
      <c r="GS76" s="7"/>
      <c r="GT76" s="7"/>
      <c r="GU76" s="61" t="str">
        <f t="shared" si="36"/>
        <v/>
      </c>
      <c r="GV76" s="61" t="str">
        <f t="shared" si="37"/>
        <v/>
      </c>
      <c r="GW76" s="61" t="str">
        <f t="shared" si="38"/>
        <v/>
      </c>
      <c r="GX76" s="61" t="str">
        <f t="shared" si="39"/>
        <v/>
      </c>
      <c r="GY76" s="61" t="str">
        <f t="shared" si="40"/>
        <v/>
      </c>
      <c r="GZ76" s="61" t="str">
        <f t="shared" si="41"/>
        <v/>
      </c>
      <c r="HA76" s="61" t="str">
        <f t="shared" si="42"/>
        <v/>
      </c>
      <c r="HB76" s="61" t="str">
        <f t="shared" si="43"/>
        <v/>
      </c>
      <c r="HC76" s="61" t="str">
        <f t="shared" si="44"/>
        <v/>
      </c>
      <c r="HD76" s="61" t="str">
        <f t="shared" si="45"/>
        <v/>
      </c>
      <c r="HE76" s="61" t="str">
        <f t="shared" si="46"/>
        <v/>
      </c>
      <c r="HF76" s="61" t="str">
        <f t="shared" si="47"/>
        <v/>
      </c>
      <c r="HG76" s="61" t="str">
        <f t="shared" si="48"/>
        <v/>
      </c>
      <c r="HH76" s="61" t="str">
        <f t="shared" si="49"/>
        <v/>
      </c>
      <c r="HI76" s="61" t="str">
        <f t="shared" si="50"/>
        <v/>
      </c>
      <c r="HJ76" s="61" t="str">
        <f t="shared" si="51"/>
        <v/>
      </c>
      <c r="HK76" s="61" t="str">
        <f t="shared" si="52"/>
        <v/>
      </c>
      <c r="HL76" s="61" t="str">
        <f t="shared" si="53"/>
        <v/>
      </c>
      <c r="HM76" s="61" t="str">
        <f t="shared" si="54"/>
        <v/>
      </c>
      <c r="HN76" s="61" t="str">
        <f t="shared" si="55"/>
        <v/>
      </c>
      <c r="HO76" s="61" t="str">
        <f t="shared" si="56"/>
        <v/>
      </c>
      <c r="HP76" s="61" t="str">
        <f t="shared" si="57"/>
        <v/>
      </c>
      <c r="HQ76" s="61" t="str">
        <f t="shared" si="58"/>
        <v/>
      </c>
      <c r="HR76" s="61" t="str">
        <f t="shared" si="59"/>
        <v/>
      </c>
      <c r="HS76" s="61" t="str">
        <f t="shared" si="60"/>
        <v/>
      </c>
      <c r="HT76" s="61" t="str">
        <f t="shared" si="61"/>
        <v/>
      </c>
      <c r="HU76" s="61" t="str">
        <f t="shared" si="62"/>
        <v/>
      </c>
      <c r="HV76" s="61" t="str">
        <f t="shared" si="63"/>
        <v/>
      </c>
      <c r="HW76" s="61" t="str">
        <f t="shared" si="64"/>
        <v/>
      </c>
      <c r="HX76" s="61" t="str">
        <f t="shared" si="65"/>
        <v/>
      </c>
      <c r="HY76" s="61" t="str">
        <f t="shared" si="66"/>
        <v/>
      </c>
      <c r="HZ76" s="61" t="str">
        <f t="shared" si="67"/>
        <v/>
      </c>
    </row>
    <row r="77" ht="15.0" customHeight="1">
      <c r="A77" s="49" t="s">
        <v>1058</v>
      </c>
      <c r="B77" s="95" t="s">
        <v>1059</v>
      </c>
      <c r="C77" s="118" t="s">
        <v>1060</v>
      </c>
      <c r="D77" s="95" t="s">
        <v>301</v>
      </c>
      <c r="E77" s="96" t="str">
        <f t="shared" si="3"/>
        <v/>
      </c>
      <c r="F77" s="95" t="s">
        <v>209</v>
      </c>
      <c r="G77" s="95" t="s">
        <v>217</v>
      </c>
      <c r="H77" s="95">
        <v>2000.0</v>
      </c>
      <c r="I77" s="7"/>
      <c r="J77" s="95" t="s">
        <v>1061</v>
      </c>
      <c r="K77" s="7"/>
      <c r="L77" s="7"/>
      <c r="M77" s="7"/>
      <c r="N77" s="7"/>
      <c r="O77" s="7"/>
      <c r="P77" s="7"/>
      <c r="Q77" s="97" t="b">
        <f t="shared" si="261"/>
        <v>1</v>
      </c>
      <c r="R77" s="97" t="b">
        <f>if(AVERAGE(S77:U77)&gt;=5, TRUE, FALSE)</f>
        <v>1</v>
      </c>
      <c r="S77" s="95">
        <v>9.0</v>
      </c>
      <c r="T77" s="95">
        <v>8.0</v>
      </c>
      <c r="U77" s="95">
        <v>8.0</v>
      </c>
      <c r="V77" s="97" t="b">
        <f>if(AVERAGE(W77:Y77)&gt;=5, TRUE, FALSE)</f>
        <v>1</v>
      </c>
      <c r="W77" s="95">
        <v>7.0</v>
      </c>
      <c r="X77" s="95">
        <v>8.0</v>
      </c>
      <c r="Y77" s="95">
        <v>6.0</v>
      </c>
      <c r="Z77" s="119"/>
      <c r="AA77" s="7"/>
      <c r="AB77" s="7"/>
      <c r="AC77" s="120"/>
      <c r="AD77" s="7"/>
      <c r="AE77" s="7"/>
      <c r="AF77" s="7"/>
      <c r="AG77" s="7"/>
      <c r="AH77" s="7"/>
      <c r="AI77" s="7"/>
      <c r="AJ77" s="7"/>
      <c r="AK77" s="7"/>
      <c r="AL77" s="7"/>
      <c r="AM77" s="7"/>
      <c r="AN77" s="7"/>
      <c r="AO77" s="7"/>
      <c r="AP77" s="7"/>
      <c r="AQ77" s="7"/>
      <c r="AR77" s="100"/>
      <c r="AS77" s="100"/>
      <c r="AT77" s="100"/>
      <c r="AU77" s="100"/>
      <c r="AV77" s="100"/>
      <c r="AW77" s="100"/>
      <c r="AX77" s="100"/>
      <c r="AY77" s="100"/>
      <c r="AZ77" s="100"/>
      <c r="BA77" s="100"/>
      <c r="BB77" s="101" t="str">
        <f t="shared" si="106"/>
        <v>ERR</v>
      </c>
      <c r="BC77" s="102" t="s">
        <v>217</v>
      </c>
      <c r="BD77" s="100"/>
      <c r="BE77" s="102" t="s">
        <v>217</v>
      </c>
      <c r="BF77" s="100"/>
      <c r="BG77" s="100"/>
      <c r="BH77" s="100"/>
      <c r="BI77" s="100"/>
      <c r="BJ77" s="100"/>
      <c r="BK77" s="102" t="s">
        <v>217</v>
      </c>
      <c r="BL77" s="100"/>
      <c r="BM77" s="100"/>
      <c r="BN77" s="102" t="s">
        <v>218</v>
      </c>
      <c r="BO77" s="102" t="s">
        <v>217</v>
      </c>
      <c r="BP77" s="100"/>
      <c r="BQ77" s="100"/>
      <c r="BR77" s="100"/>
      <c r="BS77" s="100"/>
      <c r="BT77" s="100"/>
      <c r="BU77" s="74"/>
      <c r="BV77" s="100"/>
      <c r="BW77" s="102" t="s">
        <v>217</v>
      </c>
      <c r="BX77" s="100"/>
      <c r="BY77" s="102" t="s">
        <v>217</v>
      </c>
      <c r="BZ77" s="100"/>
      <c r="CA77" s="100"/>
      <c r="CB77" s="100"/>
      <c r="CC77" s="100"/>
      <c r="CD77" s="100"/>
      <c r="CE77" s="100"/>
      <c r="CF77" s="100"/>
      <c r="CG77" s="102" t="s">
        <v>217</v>
      </c>
      <c r="CH77" s="102" t="s">
        <v>217</v>
      </c>
      <c r="CI77" s="103" t="str">
        <f t="shared" si="260"/>
        <v>x</v>
      </c>
      <c r="CJ77" s="100"/>
      <c r="CK77" s="102" t="s">
        <v>217</v>
      </c>
      <c r="CL77" s="102" t="s">
        <v>217</v>
      </c>
      <c r="CM77" s="100"/>
      <c r="CN77" s="102" t="s">
        <v>217</v>
      </c>
      <c r="CO77" s="100"/>
      <c r="CP77" s="100"/>
      <c r="CQ77" s="102" t="s">
        <v>217</v>
      </c>
      <c r="CR77" s="7"/>
      <c r="CS77" s="7"/>
      <c r="CT77" s="95" t="s">
        <v>217</v>
      </c>
      <c r="CU77" s="7"/>
      <c r="CV77" s="7"/>
      <c r="CW77" s="7"/>
      <c r="CX77" s="95" t="s">
        <v>217</v>
      </c>
      <c r="CY77" s="7"/>
      <c r="CZ77" s="7"/>
      <c r="DA77" s="7"/>
      <c r="DB77" s="7"/>
      <c r="DC77" s="7"/>
      <c r="DD77" s="7"/>
      <c r="DE77" s="95" t="s">
        <v>217</v>
      </c>
      <c r="DF77" s="7"/>
      <c r="DG77" s="97">
        <f t="shared" si="108"/>
        <v>2</v>
      </c>
      <c r="DH77" s="7"/>
      <c r="DI77" s="95" t="s">
        <v>217</v>
      </c>
      <c r="DJ77" s="7"/>
      <c r="DK77" s="7"/>
      <c r="DL77" s="95" t="s">
        <v>217</v>
      </c>
      <c r="DM77" s="7"/>
      <c r="DN77" s="95" t="s">
        <v>217</v>
      </c>
      <c r="DO77" s="7"/>
      <c r="DP77" s="97" t="str">
        <f t="shared" si="109"/>
        <v/>
      </c>
      <c r="DQ77" s="97" t="str">
        <f t="shared" si="110"/>
        <v>FM</v>
      </c>
      <c r="DR77" s="97" t="str">
        <f t="shared" si="111"/>
        <v/>
      </c>
      <c r="DS77" s="100"/>
      <c r="DT77" s="100"/>
      <c r="DU77" s="100"/>
      <c r="DV77" s="100"/>
      <c r="DW77" s="100"/>
      <c r="DX77" s="100"/>
      <c r="DY77" s="103">
        <f t="shared" si="29"/>
        <v>0</v>
      </c>
      <c r="DZ77" s="103" t="str">
        <f t="shared" si="291"/>
        <v/>
      </c>
      <c r="EA77" s="100"/>
      <c r="EB77" s="100"/>
      <c r="EC77" s="100"/>
      <c r="ED77" s="100"/>
      <c r="EE77" s="103">
        <f t="shared" si="30"/>
        <v>0</v>
      </c>
      <c r="EF77" s="103" t="str">
        <f t="shared" si="70"/>
        <v/>
      </c>
      <c r="EG77" s="97" t="str">
        <f t="shared" si="31"/>
        <v/>
      </c>
      <c r="EH77" s="7"/>
      <c r="EI77" s="7"/>
      <c r="EJ77" s="100"/>
      <c r="EK77" s="100"/>
      <c r="EL77" s="100"/>
      <c r="EM77" s="100"/>
      <c r="EN77" s="7"/>
      <c r="EO77" s="7"/>
      <c r="EP77" s="7"/>
      <c r="EQ77" s="7"/>
      <c r="ER77" s="7"/>
      <c r="ES77" s="7"/>
      <c r="ET77" s="100"/>
      <c r="EU77" s="100"/>
      <c r="EV77" s="100"/>
      <c r="EW77" s="100"/>
      <c r="EX77" s="100"/>
      <c r="EY77" s="7"/>
      <c r="EZ77" s="7"/>
      <c r="FA77" s="7"/>
      <c r="FB77" s="7"/>
      <c r="FC77" s="7"/>
      <c r="FD77" s="7"/>
      <c r="FE77" s="97" t="str">
        <f t="shared" si="32"/>
        <v/>
      </c>
      <c r="FF77" s="7"/>
      <c r="FG77" s="7"/>
      <c r="FH77" s="7"/>
      <c r="FI77" s="7"/>
      <c r="FJ77" s="7"/>
      <c r="FK77" s="7"/>
      <c r="FL77" s="7"/>
      <c r="FM77" s="7"/>
      <c r="FN77" s="7"/>
      <c r="FO77" s="7"/>
      <c r="FP77" s="95" t="s">
        <v>217</v>
      </c>
      <c r="FQ77" s="7"/>
      <c r="FR77" s="95" t="s">
        <v>217</v>
      </c>
      <c r="FS77" s="7"/>
      <c r="FT77" s="7"/>
      <c r="FU77" s="7"/>
      <c r="FV77" s="100"/>
      <c r="FW77" s="95" t="s">
        <v>217</v>
      </c>
      <c r="FX77" s="95" t="s">
        <v>217</v>
      </c>
      <c r="FY77" s="7"/>
      <c r="FZ77" s="7"/>
      <c r="GA77" s="7"/>
      <c r="GB77" s="7"/>
      <c r="GC77" s="7"/>
      <c r="GD77" s="7"/>
      <c r="GE77" s="95" t="s">
        <v>217</v>
      </c>
      <c r="GF77" s="7"/>
      <c r="GG77" s="7"/>
      <c r="GH77" s="7"/>
      <c r="GI77" s="7"/>
      <c r="GJ77" s="7"/>
      <c r="GK77" s="7"/>
      <c r="GL77" s="7"/>
      <c r="GM77" s="7"/>
      <c r="GN77" s="7"/>
      <c r="GO77" s="95" t="s">
        <v>1062</v>
      </c>
      <c r="GP77" s="7"/>
      <c r="GQ77" s="95" t="s">
        <v>1063</v>
      </c>
      <c r="GR77" s="95" t="s">
        <v>217</v>
      </c>
      <c r="GS77" s="7"/>
      <c r="GT77" s="7"/>
      <c r="GU77" s="61" t="str">
        <f t="shared" si="36"/>
        <v/>
      </c>
      <c r="GV77" s="61" t="str">
        <f t="shared" si="37"/>
        <v/>
      </c>
      <c r="GW77" s="61" t="str">
        <f t="shared" si="38"/>
        <v>x</v>
      </c>
      <c r="GX77" s="61" t="str">
        <f t="shared" si="39"/>
        <v/>
      </c>
      <c r="GY77" s="61" t="str">
        <f t="shared" si="40"/>
        <v/>
      </c>
      <c r="GZ77" s="61" t="str">
        <f t="shared" si="41"/>
        <v/>
      </c>
      <c r="HA77" s="61" t="str">
        <f t="shared" si="42"/>
        <v/>
      </c>
      <c r="HB77" s="61" t="str">
        <f t="shared" si="43"/>
        <v/>
      </c>
      <c r="HC77" s="61" t="str">
        <f t="shared" si="44"/>
        <v/>
      </c>
      <c r="HD77" s="61" t="str">
        <f t="shared" si="45"/>
        <v>x</v>
      </c>
      <c r="HE77" s="61" t="str">
        <f t="shared" si="46"/>
        <v/>
      </c>
      <c r="HF77" s="61" t="str">
        <f t="shared" si="47"/>
        <v/>
      </c>
      <c r="HG77" s="61" t="str">
        <f t="shared" si="48"/>
        <v/>
      </c>
      <c r="HH77" s="61" t="str">
        <f t="shared" si="49"/>
        <v/>
      </c>
      <c r="HI77" s="61" t="str">
        <f t="shared" si="50"/>
        <v/>
      </c>
      <c r="HJ77" s="61" t="str">
        <f t="shared" si="51"/>
        <v/>
      </c>
      <c r="HK77" s="61" t="str">
        <f t="shared" si="52"/>
        <v/>
      </c>
      <c r="HL77" s="61" t="str">
        <f t="shared" si="53"/>
        <v/>
      </c>
      <c r="HM77" s="61" t="str">
        <f t="shared" si="54"/>
        <v/>
      </c>
      <c r="HN77" s="61" t="str">
        <f t="shared" si="55"/>
        <v/>
      </c>
      <c r="HO77" s="61" t="str">
        <f t="shared" si="56"/>
        <v/>
      </c>
      <c r="HP77" s="61" t="str">
        <f t="shared" si="57"/>
        <v/>
      </c>
      <c r="HQ77" s="61" t="str">
        <f t="shared" si="58"/>
        <v/>
      </c>
      <c r="HR77" s="61" t="str">
        <f t="shared" si="59"/>
        <v/>
      </c>
      <c r="HS77" s="61" t="str">
        <f t="shared" si="60"/>
        <v/>
      </c>
      <c r="HT77" s="61" t="str">
        <f t="shared" si="61"/>
        <v/>
      </c>
      <c r="HU77" s="61" t="str">
        <f t="shared" si="62"/>
        <v/>
      </c>
      <c r="HV77" s="61" t="str">
        <f t="shared" si="63"/>
        <v/>
      </c>
      <c r="HW77" s="61" t="str">
        <f t="shared" si="64"/>
        <v/>
      </c>
      <c r="HX77" s="61" t="str">
        <f t="shared" si="65"/>
        <v/>
      </c>
      <c r="HY77" s="61" t="str">
        <f t="shared" si="66"/>
        <v/>
      </c>
      <c r="HZ77" s="61" t="str">
        <f t="shared" si="67"/>
        <v/>
      </c>
    </row>
    <row r="78" ht="1.5" customHeight="1">
      <c r="A78" s="49" t="s">
        <v>1064</v>
      </c>
      <c r="B78" s="80" t="s">
        <v>1065</v>
      </c>
      <c r="C78" s="113" t="s">
        <v>1066</v>
      </c>
      <c r="D78" s="80" t="s">
        <v>210</v>
      </c>
      <c r="E78" s="107">
        <f t="shared" si="3"/>
        <v>2</v>
      </c>
      <c r="F78" s="80" t="s">
        <v>245</v>
      </c>
      <c r="G78" s="80" t="s">
        <v>211</v>
      </c>
      <c r="H78" s="80">
        <v>2008.0</v>
      </c>
      <c r="J78" s="80" t="s">
        <v>1067</v>
      </c>
      <c r="K78" s="61" t="str">
        <f t="shared" ref="K78:K85" si="292">if(AND(D78="Aysu", F78="Vahid"), 1, "")</f>
        <v/>
      </c>
      <c r="L78" s="61" t="str">
        <f t="shared" ref="L78:L85" si="293">if(AND(D78="Aysu", F78="Ali"), 1, "")</f>
        <v/>
      </c>
      <c r="M78" s="61" t="str">
        <f t="shared" ref="M78:M85" si="294">if(AND(D78="Vahid", F78="Aysu"), 1, "")</f>
        <v/>
      </c>
      <c r="N78" s="61">
        <f t="shared" ref="N78:N85" si="295">if(AND(D78="Vahid", F78="Ali"), 1, "")</f>
        <v>1</v>
      </c>
      <c r="O78" s="61" t="str">
        <f t="shared" ref="O78:O85" si="296">if(AND(D78="Ali", F78="Vahid"), 1, "")</f>
        <v/>
      </c>
      <c r="P78" s="61" t="str">
        <f t="shared" ref="P78:P85" si="297">if(AND(D78="Ali", F78="Aysu"), 1, "")</f>
        <v/>
      </c>
      <c r="Q78" s="61" t="b">
        <f t="shared" si="261"/>
        <v>1</v>
      </c>
      <c r="R78" s="61" t="b">
        <f t="shared" ref="R78:R85" si="298">SUM(S78:U78)&gt;=2</f>
        <v>1</v>
      </c>
      <c r="S78" s="80">
        <v>1.0</v>
      </c>
      <c r="T78" s="80">
        <v>1.0</v>
      </c>
      <c r="U78" s="80">
        <v>1.0</v>
      </c>
      <c r="V78" s="61" t="b">
        <f t="shared" ref="V78:V85" si="299">SUM(W78:Y78)&gt;=2</f>
        <v>1</v>
      </c>
      <c r="W78" s="80">
        <v>1.0</v>
      </c>
      <c r="X78" s="80">
        <v>1.0</v>
      </c>
      <c r="Y78" s="80">
        <v>1.0</v>
      </c>
      <c r="AA78" s="61" t="str">
        <f t="shared" ref="AA78:AA85" si="300">iferror(if(find("Pollock", AC78)&gt;0,concat(J78,", "), ""))</f>
        <v/>
      </c>
      <c r="AB78" s="61" t="str">
        <f t="shared" ref="AB78:AB85" si="301">if(GI78="x",concat(J78,", "), "")</f>
        <v/>
      </c>
      <c r="AC78" s="114" t="s">
        <v>1068</v>
      </c>
      <c r="AD78" s="80" t="s">
        <v>1069</v>
      </c>
      <c r="AF78" s="61">
        <f>countif('Charts-SLR'!A:A,AD78)</f>
        <v>1</v>
      </c>
      <c r="AG78" s="80" t="s">
        <v>903</v>
      </c>
      <c r="AH78" s="61">
        <f t="shared" ref="AH78:AH85" si="302">countif({},AG78)</f>
        <v>0</v>
      </c>
      <c r="AI78" s="80" t="s">
        <v>231</v>
      </c>
      <c r="AJ78" s="80">
        <v>8.0</v>
      </c>
      <c r="AK78" s="108">
        <f t="shared" ref="AK78:AK85" si="303">AJ78/(2012-H78)</f>
        <v>2</v>
      </c>
      <c r="AL78" s="61">
        <f t="shared" ref="AL78:AL85" si="304">if(AI78="J",AJ78,"")</f>
        <v>8</v>
      </c>
      <c r="AM78" s="61" t="str">
        <f t="shared" ref="AM78:AM85" si="305">if(AI78="C",AJ78,"")</f>
        <v/>
      </c>
      <c r="AN78" s="61" t="str">
        <f t="shared" ref="AN78:AN85" si="306">if(AI78="W", AJ78,"")</f>
        <v/>
      </c>
      <c r="AO78" s="61" t="str">
        <f t="shared" ref="AO78:AO85" si="307">if(AI78="M",AJ78,"")</f>
        <v/>
      </c>
      <c r="AP78" s="61" t="str">
        <f t="shared" ref="AP78:AP85" si="308">if(AI78="S",AJ78,"")</f>
        <v/>
      </c>
      <c r="AQ78" s="61" t="str">
        <f t="shared" ref="AQ78:AQ85" si="309">if(BH78="x",concat(J78,", "), "")</f>
        <v/>
      </c>
      <c r="AR78" s="74"/>
      <c r="AS78" s="74"/>
      <c r="AT78" s="74"/>
      <c r="AU78" s="74"/>
      <c r="AV78" s="74"/>
      <c r="AW78" s="74"/>
      <c r="AX78" s="74"/>
      <c r="AY78" s="74"/>
      <c r="AZ78" s="73" t="s">
        <v>217</v>
      </c>
      <c r="BA78" s="74"/>
      <c r="BB78" s="109" t="str">
        <f t="shared" si="106"/>
        <v/>
      </c>
      <c r="BC78" s="73" t="s">
        <v>217</v>
      </c>
      <c r="BD78" s="73" t="s">
        <v>217</v>
      </c>
      <c r="BE78" s="73" t="s">
        <v>217</v>
      </c>
      <c r="BF78" s="73" t="s">
        <v>217</v>
      </c>
      <c r="BG78" s="74"/>
      <c r="BH78" s="74"/>
      <c r="BI78" s="110">
        <f t="shared" ref="BI78:BI85" si="310">COUNTA(BC78:BH78)</f>
        <v>4</v>
      </c>
      <c r="BJ78" s="74"/>
      <c r="BK78" s="73" t="s">
        <v>217</v>
      </c>
      <c r="BL78" s="74"/>
      <c r="BM78" s="73" t="s">
        <v>1070</v>
      </c>
      <c r="BN78" s="73" t="s">
        <v>218</v>
      </c>
      <c r="BO78" s="74"/>
      <c r="BP78" s="73" t="s">
        <v>217</v>
      </c>
      <c r="BQ78" s="74"/>
      <c r="BR78" s="74"/>
      <c r="BS78" s="74"/>
      <c r="BT78" s="74"/>
      <c r="BU78" s="74"/>
      <c r="BV78" s="73" t="s">
        <v>217</v>
      </c>
      <c r="BW78" s="73" t="s">
        <v>217</v>
      </c>
      <c r="BX78" s="74"/>
      <c r="BY78" s="73" t="s">
        <v>217</v>
      </c>
      <c r="BZ78" s="74"/>
      <c r="CA78" s="74"/>
      <c r="CB78" s="74"/>
      <c r="CC78" s="74"/>
      <c r="CD78" s="74"/>
      <c r="CE78" s="74"/>
      <c r="CF78" s="74"/>
      <c r="CG78" s="74"/>
      <c r="CH78" s="73" t="s">
        <v>217</v>
      </c>
      <c r="CI78" s="110" t="str">
        <f t="shared" si="260"/>
        <v/>
      </c>
      <c r="CJ78" s="110">
        <f t="shared" ref="CJ78:CJ85" si="311">if(CG78="x", 1, if(CH78="x", 2, 3))</f>
        <v>2</v>
      </c>
      <c r="CK78" s="73" t="s">
        <v>217</v>
      </c>
      <c r="CL78" s="74"/>
      <c r="CM78" s="74"/>
      <c r="CN78" s="73" t="s">
        <v>217</v>
      </c>
      <c r="CO78" s="74"/>
      <c r="CP78" s="74"/>
      <c r="CQ78" s="74"/>
      <c r="CX78" s="80" t="s">
        <v>217</v>
      </c>
      <c r="DE78" s="80" t="s">
        <v>217</v>
      </c>
      <c r="DG78" s="61">
        <f t="shared" si="108"/>
        <v>2</v>
      </c>
      <c r="DI78" s="80" t="s">
        <v>217</v>
      </c>
      <c r="DM78" s="61">
        <f t="shared" ref="DM78:DM85" si="312">counta(DH78:DL78)</f>
        <v>1</v>
      </c>
      <c r="DN78" s="80" t="s">
        <v>217</v>
      </c>
      <c r="DO78" s="80" t="s">
        <v>217</v>
      </c>
      <c r="DP78" s="61" t="str">
        <f t="shared" si="109"/>
        <v>both</v>
      </c>
      <c r="DQ78" s="61" t="str">
        <f t="shared" si="110"/>
        <v/>
      </c>
      <c r="DR78" s="61" t="str">
        <f t="shared" si="111"/>
        <v/>
      </c>
      <c r="DU78" s="73" t="s">
        <v>217</v>
      </c>
      <c r="DV78" s="74"/>
      <c r="DW78" s="73" t="s">
        <v>217</v>
      </c>
      <c r="DX78" s="74"/>
      <c r="DY78" s="110">
        <f t="shared" si="29"/>
        <v>2</v>
      </c>
      <c r="DZ78" s="110" t="str">
        <f t="shared" ref="DZ78:DZ79" si="313">if(AND(DU78&lt;&gt;"",DW78="x"), "x", "")</f>
        <v>x</v>
      </c>
      <c r="EA78" s="74"/>
      <c r="EB78" s="74"/>
      <c r="EC78" s="74"/>
      <c r="ED78" s="74"/>
      <c r="EE78" s="110">
        <f t="shared" si="30"/>
        <v>0</v>
      </c>
      <c r="EF78" s="110" t="str">
        <f t="shared" si="70"/>
        <v/>
      </c>
      <c r="EG78" s="61" t="str">
        <f t="shared" si="31"/>
        <v/>
      </c>
      <c r="EI78" s="80" t="s">
        <v>1071</v>
      </c>
      <c r="EJ78" s="74"/>
      <c r="EK78" s="74"/>
      <c r="EL78" s="74"/>
      <c r="EM78" s="74"/>
      <c r="EN78" s="80" t="s">
        <v>217</v>
      </c>
      <c r="ES78" s="80" t="s">
        <v>1072</v>
      </c>
      <c r="ET78" s="73">
        <v>0.0</v>
      </c>
      <c r="EU78" s="74"/>
      <c r="EV78" s="74"/>
      <c r="EW78" s="74"/>
      <c r="EX78" s="74"/>
      <c r="EZ78" s="80" t="s">
        <v>1073</v>
      </c>
      <c r="FE78" s="97">
        <f t="shared" si="32"/>
        <v>0</v>
      </c>
      <c r="FF78" s="80">
        <v>1.0</v>
      </c>
      <c r="FG78" s="80">
        <v>1.0</v>
      </c>
      <c r="FH78" s="80">
        <v>0.0</v>
      </c>
      <c r="FI78" s="61">
        <f t="shared" ref="FI78:FI79" si="314">sum(FF78:FH78)</f>
        <v>2</v>
      </c>
      <c r="FJ78" s="80">
        <v>1.0</v>
      </c>
      <c r="FK78" s="80">
        <v>0.0</v>
      </c>
      <c r="FL78" s="80">
        <v>1.0</v>
      </c>
      <c r="FM78" s="61" t="str">
        <f t="shared" ref="FM78:FM79" si="315">if(GP78&lt;1000, "0", if(GP78&lt;10000, "0.5","1"))</f>
        <v>1</v>
      </c>
      <c r="FN78" s="61">
        <f>SUM.LEGACY(FJ78:FM78)</f>
        <v>3</v>
      </c>
      <c r="FP78" s="80" t="s">
        <v>217</v>
      </c>
      <c r="FQ78" s="61" t="str">
        <f t="shared" ref="FQ78:FQ85" si="316">if(and(FO78="",FP78=""), "both", "")</f>
        <v/>
      </c>
      <c r="FR78" s="80" t="s">
        <v>217</v>
      </c>
      <c r="FT78" s="61" t="str">
        <f t="shared" ref="FT78:FT85" si="317">if(and(FS78="x",FR78="x"), "both", "")</f>
        <v/>
      </c>
      <c r="FU78" s="61" t="str">
        <f t="shared" ref="FU78:FU85" si="318">if(and(FR78="",FS78=""), "none", "")</f>
        <v/>
      </c>
      <c r="FV78" s="74"/>
      <c r="GD78" s="80" t="s">
        <v>217</v>
      </c>
      <c r="GL78" s="80" t="s">
        <v>1074</v>
      </c>
      <c r="GN78" s="80">
        <v>16.0</v>
      </c>
      <c r="GO78" s="80" t="s">
        <v>1075</v>
      </c>
      <c r="GP78" s="112">
        <v>111533.0</v>
      </c>
      <c r="GQ78" s="80" t="s">
        <v>1076</v>
      </c>
      <c r="GS78" s="80" t="s">
        <v>217</v>
      </c>
      <c r="GT78" s="80" t="s">
        <v>217</v>
      </c>
      <c r="GU78" s="61" t="str">
        <f t="shared" si="36"/>
        <v/>
      </c>
      <c r="GV78" s="61" t="str">
        <f t="shared" si="37"/>
        <v/>
      </c>
      <c r="GW78" s="61" t="str">
        <f t="shared" si="38"/>
        <v/>
      </c>
      <c r="GX78" s="61" t="str">
        <f t="shared" si="39"/>
        <v/>
      </c>
      <c r="GY78" s="61" t="str">
        <f t="shared" si="40"/>
        <v/>
      </c>
      <c r="GZ78" s="61" t="str">
        <f t="shared" si="41"/>
        <v/>
      </c>
      <c r="HA78" s="61" t="str">
        <f t="shared" si="42"/>
        <v/>
      </c>
      <c r="HB78" s="61" t="str">
        <f t="shared" si="43"/>
        <v/>
      </c>
      <c r="HC78" s="61" t="str">
        <f t="shared" si="44"/>
        <v/>
      </c>
      <c r="HD78" s="61" t="str">
        <f t="shared" si="45"/>
        <v/>
      </c>
      <c r="HE78" s="61" t="str">
        <f t="shared" si="46"/>
        <v/>
      </c>
      <c r="HF78" s="61" t="str">
        <f t="shared" si="47"/>
        <v/>
      </c>
      <c r="HG78" s="61" t="str">
        <f t="shared" si="48"/>
        <v/>
      </c>
      <c r="HH78" s="61" t="str">
        <f t="shared" si="49"/>
        <v/>
      </c>
      <c r="HI78" s="61" t="str">
        <f t="shared" si="50"/>
        <v/>
      </c>
      <c r="HJ78" s="61" t="str">
        <f t="shared" si="51"/>
        <v/>
      </c>
      <c r="HK78" s="61" t="str">
        <f t="shared" si="52"/>
        <v/>
      </c>
      <c r="HL78" s="61" t="str">
        <f t="shared" si="53"/>
        <v/>
      </c>
      <c r="HM78" s="61" t="str">
        <f t="shared" si="54"/>
        <v/>
      </c>
      <c r="HN78" s="61" t="str">
        <f t="shared" si="55"/>
        <v/>
      </c>
      <c r="HO78" s="61" t="str">
        <f t="shared" si="56"/>
        <v/>
      </c>
      <c r="HP78" s="61" t="str">
        <f t="shared" si="57"/>
        <v/>
      </c>
      <c r="HQ78" s="61" t="str">
        <f t="shared" si="58"/>
        <v/>
      </c>
      <c r="HR78" s="61" t="str">
        <f t="shared" si="59"/>
        <v/>
      </c>
      <c r="HS78" s="61" t="str">
        <f t="shared" si="60"/>
        <v/>
      </c>
      <c r="HT78" s="61" t="str">
        <f t="shared" si="61"/>
        <v/>
      </c>
      <c r="HU78" s="61" t="str">
        <f t="shared" si="62"/>
        <v/>
      </c>
      <c r="HV78" s="61" t="str">
        <f t="shared" si="63"/>
        <v/>
      </c>
      <c r="HW78" s="61" t="str">
        <f t="shared" si="64"/>
        <v/>
      </c>
      <c r="HX78" s="61" t="str">
        <f t="shared" si="65"/>
        <v/>
      </c>
      <c r="HY78" s="61" t="str">
        <f t="shared" si="66"/>
        <v>x</v>
      </c>
      <c r="HZ78" s="61" t="str">
        <f t="shared" si="67"/>
        <v/>
      </c>
    </row>
    <row r="79" ht="1.5" customHeight="1">
      <c r="A79" s="49" t="s">
        <v>1077</v>
      </c>
      <c r="B79" s="80" t="s">
        <v>1078</v>
      </c>
      <c r="C79" s="113" t="s">
        <v>1079</v>
      </c>
      <c r="D79" s="80" t="s">
        <v>209</v>
      </c>
      <c r="E79" s="107">
        <f t="shared" si="3"/>
        <v>2</v>
      </c>
      <c r="F79" s="80" t="s">
        <v>210</v>
      </c>
      <c r="G79" s="80" t="s">
        <v>211</v>
      </c>
      <c r="H79" s="80">
        <v>2002.0</v>
      </c>
      <c r="J79" s="80" t="s">
        <v>1080</v>
      </c>
      <c r="K79" s="61">
        <f t="shared" si="292"/>
        <v>1</v>
      </c>
      <c r="L79" s="61" t="str">
        <f t="shared" si="293"/>
        <v/>
      </c>
      <c r="M79" s="61" t="str">
        <f t="shared" si="294"/>
        <v/>
      </c>
      <c r="N79" s="61" t="str">
        <f t="shared" si="295"/>
        <v/>
      </c>
      <c r="O79" s="61" t="str">
        <f t="shared" si="296"/>
        <v/>
      </c>
      <c r="P79" s="61" t="str">
        <f t="shared" si="297"/>
        <v/>
      </c>
      <c r="Q79" s="61" t="b">
        <f t="shared" si="261"/>
        <v>1</v>
      </c>
      <c r="R79" s="61" t="b">
        <f t="shared" si="298"/>
        <v>1</v>
      </c>
      <c r="S79" s="80">
        <v>1.0</v>
      </c>
      <c r="T79" s="80">
        <v>0.0</v>
      </c>
      <c r="U79" s="80">
        <v>1.0</v>
      </c>
      <c r="V79" s="61" t="b">
        <f t="shared" si="299"/>
        <v>1</v>
      </c>
      <c r="W79" s="80">
        <v>0.0</v>
      </c>
      <c r="X79" s="80">
        <v>1.0</v>
      </c>
      <c r="Y79" s="80">
        <v>1.0</v>
      </c>
      <c r="Z79" s="115" t="s">
        <v>1081</v>
      </c>
      <c r="AA79" s="61" t="str">
        <f t="shared" si="300"/>
        <v/>
      </c>
      <c r="AB79" s="61" t="str">
        <f t="shared" si="301"/>
        <v/>
      </c>
      <c r="AC79" s="114" t="s">
        <v>348</v>
      </c>
      <c r="AD79" s="80" t="s">
        <v>214</v>
      </c>
      <c r="AF79" s="61">
        <f>countif('Charts-SLR'!A:A,AD79)</f>
        <v>1</v>
      </c>
      <c r="AG79" s="80" t="s">
        <v>450</v>
      </c>
      <c r="AH79" s="61">
        <f t="shared" si="302"/>
        <v>0</v>
      </c>
      <c r="AI79" s="80" t="s">
        <v>231</v>
      </c>
      <c r="AJ79" s="80">
        <v>30.0</v>
      </c>
      <c r="AK79" s="108">
        <f t="shared" si="303"/>
        <v>3</v>
      </c>
      <c r="AL79" s="61">
        <f t="shared" si="304"/>
        <v>30</v>
      </c>
      <c r="AM79" s="61" t="str">
        <f t="shared" si="305"/>
        <v/>
      </c>
      <c r="AN79" s="61" t="str">
        <f t="shared" si="306"/>
        <v/>
      </c>
      <c r="AO79" s="61" t="str">
        <f t="shared" si="307"/>
        <v/>
      </c>
      <c r="AP79" s="61" t="str">
        <f t="shared" si="308"/>
        <v/>
      </c>
      <c r="AQ79" s="61" t="str">
        <f t="shared" si="309"/>
        <v/>
      </c>
      <c r="AR79" s="74"/>
      <c r="AS79" s="73" t="s">
        <v>217</v>
      </c>
      <c r="AT79" s="74"/>
      <c r="AU79" s="74"/>
      <c r="AV79" s="74"/>
      <c r="AW79" s="74"/>
      <c r="AX79" s="74"/>
      <c r="AY79" s="74"/>
      <c r="AZ79" s="74"/>
      <c r="BA79" s="74"/>
      <c r="BB79" s="109" t="str">
        <f t="shared" si="106"/>
        <v>ERR</v>
      </c>
      <c r="BC79" s="74"/>
      <c r="BD79" s="73" t="s">
        <v>217</v>
      </c>
      <c r="BE79" s="74"/>
      <c r="BF79" s="74"/>
      <c r="BG79" s="73" t="s">
        <v>217</v>
      </c>
      <c r="BH79" s="74"/>
      <c r="BI79" s="110">
        <f t="shared" si="310"/>
        <v>2</v>
      </c>
      <c r="BJ79" s="74"/>
      <c r="BK79" s="74"/>
      <c r="BL79" s="74"/>
      <c r="BO79" s="74"/>
      <c r="BP79" s="73" t="s">
        <v>217</v>
      </c>
      <c r="BQ79" s="74"/>
      <c r="BR79" s="74"/>
      <c r="BS79" s="74"/>
      <c r="BT79" s="74"/>
      <c r="BU79" s="74"/>
      <c r="BV79" s="73" t="s">
        <v>217</v>
      </c>
      <c r="BW79" s="74"/>
      <c r="BX79" s="74"/>
      <c r="BY79" s="73" t="s">
        <v>217</v>
      </c>
      <c r="BZ79" s="74"/>
      <c r="CA79" s="74"/>
      <c r="CB79" s="73" t="s">
        <v>217</v>
      </c>
      <c r="CC79" s="74"/>
      <c r="CD79" s="74"/>
      <c r="CE79" s="74"/>
      <c r="CF79" s="74"/>
      <c r="CG79" s="74"/>
      <c r="CH79" s="73" t="s">
        <v>217</v>
      </c>
      <c r="CI79" s="111" t="str">
        <f t="shared" si="260"/>
        <v/>
      </c>
      <c r="CJ79" s="110">
        <f t="shared" si="311"/>
        <v>2</v>
      </c>
      <c r="CK79" s="74"/>
      <c r="CL79" s="73" t="s">
        <v>217</v>
      </c>
      <c r="CM79" s="74"/>
      <c r="CN79" s="73" t="s">
        <v>217</v>
      </c>
      <c r="CO79" s="74"/>
      <c r="CP79" s="74"/>
      <c r="CQ79" s="74"/>
      <c r="CT79" s="80" t="s">
        <v>217</v>
      </c>
      <c r="DE79" s="80" t="s">
        <v>217</v>
      </c>
      <c r="DG79" s="61">
        <f t="shared" si="108"/>
        <v>1</v>
      </c>
      <c r="DH79" s="80" t="s">
        <v>217</v>
      </c>
      <c r="DM79" s="61">
        <f t="shared" si="312"/>
        <v>1</v>
      </c>
      <c r="DO79" s="80" t="s">
        <v>217</v>
      </c>
      <c r="DP79" s="61" t="str">
        <f t="shared" si="109"/>
        <v/>
      </c>
      <c r="DQ79" s="61" t="str">
        <f t="shared" si="110"/>
        <v/>
      </c>
      <c r="DR79" s="61" t="str">
        <f t="shared" si="111"/>
        <v>FA</v>
      </c>
      <c r="DT79" s="74"/>
      <c r="DU79" s="73" t="s">
        <v>466</v>
      </c>
      <c r="DV79" s="73" t="s">
        <v>217</v>
      </c>
      <c r="DW79" s="74"/>
      <c r="DX79" s="74"/>
      <c r="DY79" s="110">
        <f t="shared" si="29"/>
        <v>2</v>
      </c>
      <c r="DZ79" s="110" t="str">
        <f t="shared" si="313"/>
        <v/>
      </c>
      <c r="EA79" s="74"/>
      <c r="EB79" s="74"/>
      <c r="EC79" s="74"/>
      <c r="ED79" s="74"/>
      <c r="EE79" s="110">
        <f t="shared" si="30"/>
        <v>0</v>
      </c>
      <c r="EF79" s="110" t="str">
        <f t="shared" si="70"/>
        <v/>
      </c>
      <c r="EG79" s="61" t="str">
        <f t="shared" si="31"/>
        <v/>
      </c>
      <c r="EJ79" s="74"/>
      <c r="EK79" s="74"/>
      <c r="EL79" s="74"/>
      <c r="EM79" s="74"/>
      <c r="ES79" s="80" t="s">
        <v>1082</v>
      </c>
      <c r="ET79" s="73">
        <v>0.0</v>
      </c>
      <c r="EU79" s="74"/>
      <c r="EV79" s="74"/>
      <c r="EW79" s="74"/>
      <c r="EX79" s="74"/>
      <c r="EZ79" s="80" t="s">
        <v>1083</v>
      </c>
      <c r="FE79" s="97">
        <f t="shared" si="32"/>
        <v>0</v>
      </c>
      <c r="FF79" s="80">
        <v>1.0</v>
      </c>
      <c r="FG79" s="80">
        <v>1.0</v>
      </c>
      <c r="FH79" s="80">
        <v>0.0</v>
      </c>
      <c r="FI79" s="61">
        <f t="shared" si="314"/>
        <v>2</v>
      </c>
      <c r="FJ79" s="80">
        <v>1.0</v>
      </c>
      <c r="FK79" s="80">
        <v>0.0</v>
      </c>
      <c r="FL79" s="80">
        <v>0.0</v>
      </c>
      <c r="FM79" s="61" t="str">
        <f t="shared" si="315"/>
        <v>0</v>
      </c>
      <c r="FN79" s="61">
        <f>sum(FJ79:FM79)</f>
        <v>1</v>
      </c>
      <c r="FP79" s="80" t="s">
        <v>217</v>
      </c>
      <c r="FQ79" s="61" t="str">
        <f t="shared" si="316"/>
        <v/>
      </c>
      <c r="FR79" s="80" t="s">
        <v>217</v>
      </c>
      <c r="FT79" s="61" t="str">
        <f t="shared" si="317"/>
        <v/>
      </c>
      <c r="FU79" s="61" t="str">
        <f t="shared" si="318"/>
        <v/>
      </c>
      <c r="FV79" s="74"/>
      <c r="GA79" s="80" t="s">
        <v>217</v>
      </c>
      <c r="GJ79" s="80" t="s">
        <v>217</v>
      </c>
      <c r="GL79" s="80" t="s">
        <v>1084</v>
      </c>
      <c r="GN79" s="80">
        <v>1.0</v>
      </c>
      <c r="GO79" s="80" t="s">
        <v>1085</v>
      </c>
      <c r="GP79" s="116"/>
      <c r="GQ79" s="80" t="s">
        <v>1086</v>
      </c>
      <c r="GU79" s="61" t="str">
        <f t="shared" si="36"/>
        <v/>
      </c>
      <c r="GV79" s="61" t="str">
        <f t="shared" si="37"/>
        <v/>
      </c>
      <c r="GW79" s="61" t="str">
        <f t="shared" si="38"/>
        <v/>
      </c>
      <c r="GX79" s="61" t="str">
        <f t="shared" si="39"/>
        <v/>
      </c>
      <c r="GY79" s="61" t="str">
        <f t="shared" si="40"/>
        <v/>
      </c>
      <c r="GZ79" s="61" t="str">
        <f t="shared" si="41"/>
        <v/>
      </c>
      <c r="HA79" s="61" t="str">
        <f t="shared" si="42"/>
        <v/>
      </c>
      <c r="HB79" s="61" t="str">
        <f t="shared" si="43"/>
        <v/>
      </c>
      <c r="HC79" s="61" t="str">
        <f t="shared" si="44"/>
        <v/>
      </c>
      <c r="HD79" s="61" t="str">
        <f t="shared" si="45"/>
        <v/>
      </c>
      <c r="HE79" s="61" t="str">
        <f t="shared" si="46"/>
        <v/>
      </c>
      <c r="HF79" s="61" t="str">
        <f t="shared" si="47"/>
        <v/>
      </c>
      <c r="HG79" s="61" t="str">
        <f t="shared" si="48"/>
        <v/>
      </c>
      <c r="HH79" s="61" t="str">
        <f t="shared" si="49"/>
        <v/>
      </c>
      <c r="HI79" s="61" t="str">
        <f t="shared" si="50"/>
        <v/>
      </c>
      <c r="HJ79" s="61" t="str">
        <f t="shared" si="51"/>
        <v/>
      </c>
      <c r="HK79" s="61" t="str">
        <f t="shared" si="52"/>
        <v/>
      </c>
      <c r="HL79" s="61" t="str">
        <f t="shared" si="53"/>
        <v/>
      </c>
      <c r="HM79" s="61" t="str">
        <f t="shared" si="54"/>
        <v/>
      </c>
      <c r="HN79" s="61" t="str">
        <f t="shared" si="55"/>
        <v/>
      </c>
      <c r="HO79" s="61" t="str">
        <f t="shared" si="56"/>
        <v/>
      </c>
      <c r="HP79" s="61" t="str">
        <f t="shared" si="57"/>
        <v/>
      </c>
      <c r="HQ79" s="61" t="str">
        <f t="shared" si="58"/>
        <v/>
      </c>
      <c r="HR79" s="61" t="str">
        <f t="shared" si="59"/>
        <v>x</v>
      </c>
      <c r="HS79" s="61" t="str">
        <f t="shared" si="60"/>
        <v/>
      </c>
      <c r="HT79" s="61" t="str">
        <f t="shared" si="61"/>
        <v/>
      </c>
      <c r="HU79" s="61" t="str">
        <f t="shared" si="62"/>
        <v/>
      </c>
      <c r="HV79" s="61" t="str">
        <f t="shared" si="63"/>
        <v/>
      </c>
      <c r="HW79" s="61" t="str">
        <f t="shared" si="64"/>
        <v/>
      </c>
      <c r="HX79" s="61" t="str">
        <f t="shared" si="65"/>
        <v/>
      </c>
      <c r="HY79" s="61" t="str">
        <f t="shared" si="66"/>
        <v/>
      </c>
      <c r="HZ79" s="61" t="str">
        <f t="shared" si="67"/>
        <v/>
      </c>
    </row>
    <row r="80" ht="1.5" customHeight="1">
      <c r="A80" s="49" t="s">
        <v>1087</v>
      </c>
      <c r="B80" s="95" t="s">
        <v>1088</v>
      </c>
      <c r="C80" s="117" t="s">
        <v>1089</v>
      </c>
      <c r="D80" s="95" t="s">
        <v>209</v>
      </c>
      <c r="E80" s="96" t="str">
        <f t="shared" si="3"/>
        <v/>
      </c>
      <c r="F80" s="95" t="s">
        <v>245</v>
      </c>
      <c r="G80" s="95" t="s">
        <v>211</v>
      </c>
      <c r="H80" s="95">
        <v>2006.0</v>
      </c>
      <c r="I80" s="7"/>
      <c r="J80" s="95" t="s">
        <v>1090</v>
      </c>
      <c r="K80" s="97" t="str">
        <f t="shared" si="292"/>
        <v/>
      </c>
      <c r="L80" s="97">
        <f t="shared" si="293"/>
        <v>1</v>
      </c>
      <c r="M80" s="97" t="str">
        <f t="shared" si="294"/>
        <v/>
      </c>
      <c r="N80" s="97" t="str">
        <f t="shared" si="295"/>
        <v/>
      </c>
      <c r="O80" s="97" t="str">
        <f t="shared" si="296"/>
        <v/>
      </c>
      <c r="P80" s="97" t="str">
        <f t="shared" si="297"/>
        <v/>
      </c>
      <c r="Q80" s="97" t="b">
        <f t="shared" si="261"/>
        <v>1</v>
      </c>
      <c r="R80" s="97" t="b">
        <f t="shared" si="298"/>
        <v>1</v>
      </c>
      <c r="S80" s="95">
        <v>1.0</v>
      </c>
      <c r="T80" s="95">
        <v>1.0</v>
      </c>
      <c r="U80" s="95">
        <v>1.0</v>
      </c>
      <c r="V80" s="97" t="b">
        <f t="shared" si="299"/>
        <v>1</v>
      </c>
      <c r="W80" s="95">
        <v>0.0</v>
      </c>
      <c r="X80" s="95">
        <v>1.0</v>
      </c>
      <c r="Y80" s="95">
        <v>1.0</v>
      </c>
      <c r="Z80" s="95" t="s">
        <v>1091</v>
      </c>
      <c r="AA80" s="97" t="str">
        <f t="shared" si="300"/>
        <v/>
      </c>
      <c r="AB80" s="97" t="str">
        <f t="shared" si="301"/>
        <v/>
      </c>
      <c r="AC80" s="98" t="s">
        <v>1092</v>
      </c>
      <c r="AD80" s="95" t="s">
        <v>1093</v>
      </c>
      <c r="AE80" s="7"/>
      <c r="AF80" s="97">
        <f>countif('Charts-SLR'!A:A,AD80)</f>
        <v>1</v>
      </c>
      <c r="AG80" s="95" t="s">
        <v>312</v>
      </c>
      <c r="AH80" s="97">
        <f t="shared" si="302"/>
        <v>0</v>
      </c>
      <c r="AI80" s="95" t="s">
        <v>231</v>
      </c>
      <c r="AJ80" s="95">
        <v>20.0</v>
      </c>
      <c r="AK80" s="99">
        <f t="shared" si="303"/>
        <v>3.333333333</v>
      </c>
      <c r="AL80" s="97">
        <f t="shared" si="304"/>
        <v>20</v>
      </c>
      <c r="AM80" s="97" t="str">
        <f t="shared" si="305"/>
        <v/>
      </c>
      <c r="AN80" s="97" t="str">
        <f t="shared" si="306"/>
        <v/>
      </c>
      <c r="AO80" s="97" t="str">
        <f t="shared" si="307"/>
        <v/>
      </c>
      <c r="AP80" s="97" t="str">
        <f t="shared" si="308"/>
        <v/>
      </c>
      <c r="AQ80" s="97" t="str">
        <f t="shared" si="309"/>
        <v>Mansour:ist06, </v>
      </c>
      <c r="AR80" s="100"/>
      <c r="AS80" s="100"/>
      <c r="AT80" s="100"/>
      <c r="AU80" s="100"/>
      <c r="AV80" s="100"/>
      <c r="AW80" s="100"/>
      <c r="AX80" s="100"/>
      <c r="AY80" s="100"/>
      <c r="AZ80" s="100"/>
      <c r="BA80" s="100"/>
      <c r="BB80" s="101" t="str">
        <f t="shared" si="106"/>
        <v>ERR</v>
      </c>
      <c r="BC80" s="102" t="s">
        <v>217</v>
      </c>
      <c r="BD80" s="100"/>
      <c r="BE80" s="102" t="s">
        <v>217</v>
      </c>
      <c r="BF80" s="100"/>
      <c r="BG80" s="100"/>
      <c r="BH80" s="102" t="s">
        <v>217</v>
      </c>
      <c r="BI80" s="103">
        <f t="shared" si="310"/>
        <v>3</v>
      </c>
      <c r="BJ80" s="100"/>
      <c r="BK80" s="102" t="s">
        <v>217</v>
      </c>
      <c r="BL80" s="100"/>
      <c r="BM80" s="100"/>
      <c r="BN80" s="102" t="s">
        <v>218</v>
      </c>
      <c r="BO80" s="102" t="s">
        <v>217</v>
      </c>
      <c r="BP80" s="100"/>
      <c r="BQ80" s="100"/>
      <c r="BR80" s="100"/>
      <c r="BS80" s="100"/>
      <c r="BT80" s="100"/>
      <c r="BU80" s="74"/>
      <c r="BV80" s="102" t="s">
        <v>217</v>
      </c>
      <c r="BW80" s="100"/>
      <c r="BX80" s="102" t="s">
        <v>217</v>
      </c>
      <c r="BY80" s="102" t="s">
        <v>217</v>
      </c>
      <c r="BZ80" s="100"/>
      <c r="CA80" s="102" t="s">
        <v>217</v>
      </c>
      <c r="CB80" s="100"/>
      <c r="CC80" s="100"/>
      <c r="CD80" s="100"/>
      <c r="CE80" s="100"/>
      <c r="CF80" s="100"/>
      <c r="CG80" s="100"/>
      <c r="CH80" s="102" t="s">
        <v>217</v>
      </c>
      <c r="CI80" s="103" t="str">
        <f t="shared" si="260"/>
        <v/>
      </c>
      <c r="CJ80" s="103">
        <f t="shared" si="311"/>
        <v>2</v>
      </c>
      <c r="CK80" s="100"/>
      <c r="CL80" s="102" t="s">
        <v>217</v>
      </c>
      <c r="CM80" s="100"/>
      <c r="CN80" s="102" t="s">
        <v>217</v>
      </c>
      <c r="CO80" s="100"/>
      <c r="CP80" s="100"/>
      <c r="CQ80" s="100"/>
      <c r="CR80" s="7"/>
      <c r="CS80" s="7"/>
      <c r="CT80" s="7"/>
      <c r="CU80" s="7"/>
      <c r="CV80" s="7"/>
      <c r="CW80" s="7"/>
      <c r="CX80" s="95" t="s">
        <v>217</v>
      </c>
      <c r="CY80" s="95" t="s">
        <v>217</v>
      </c>
      <c r="CZ80" s="7"/>
      <c r="DA80" s="7"/>
      <c r="DB80" s="7"/>
      <c r="DC80" s="7"/>
      <c r="DD80" s="7"/>
      <c r="DE80" s="7"/>
      <c r="DF80" s="95" t="s">
        <v>217</v>
      </c>
      <c r="DG80" s="97">
        <f t="shared" si="108"/>
        <v>3</v>
      </c>
      <c r="DH80" s="95" t="s">
        <v>217</v>
      </c>
      <c r="DI80" s="7"/>
      <c r="DJ80" s="7"/>
      <c r="DK80" s="7"/>
      <c r="DL80" s="7"/>
      <c r="DM80" s="97">
        <f t="shared" si="312"/>
        <v>1</v>
      </c>
      <c r="DN80" s="7"/>
      <c r="DO80" s="95" t="s">
        <v>217</v>
      </c>
      <c r="DP80" s="97" t="str">
        <f t="shared" si="109"/>
        <v/>
      </c>
      <c r="DQ80" s="97" t="str">
        <f t="shared" si="110"/>
        <v/>
      </c>
      <c r="DR80" s="97" t="str">
        <f t="shared" si="111"/>
        <v>FA</v>
      </c>
      <c r="DS80" s="100"/>
      <c r="DT80" s="7"/>
      <c r="DU80" s="102" t="s">
        <v>217</v>
      </c>
      <c r="DV80" s="100"/>
      <c r="DW80" s="102" t="s">
        <v>217</v>
      </c>
      <c r="DX80" s="100"/>
      <c r="DY80" s="103">
        <f t="shared" si="29"/>
        <v>2</v>
      </c>
      <c r="DZ80" s="103" t="str">
        <f t="shared" ref="DZ80:DZ82" si="319">if(AND(DS80&lt;&gt;"",DW80="x"), "x", "")</f>
        <v/>
      </c>
      <c r="EA80" s="100"/>
      <c r="EB80" s="100"/>
      <c r="EC80" s="100"/>
      <c r="ED80" s="100"/>
      <c r="EE80" s="103">
        <f t="shared" si="30"/>
        <v>0</v>
      </c>
      <c r="EF80" s="103" t="str">
        <f t="shared" si="70"/>
        <v/>
      </c>
      <c r="EG80" s="97" t="str">
        <f t="shared" si="31"/>
        <v/>
      </c>
      <c r="EH80" s="7"/>
      <c r="EI80" s="7"/>
      <c r="EJ80" s="100"/>
      <c r="EK80" s="100"/>
      <c r="EL80" s="100"/>
      <c r="EM80" s="100"/>
      <c r="EN80" s="7"/>
      <c r="EO80" s="95" t="s">
        <v>217</v>
      </c>
      <c r="EP80" s="7"/>
      <c r="EQ80" s="7"/>
      <c r="ER80" s="7"/>
      <c r="ES80" s="7"/>
      <c r="ET80" s="100"/>
      <c r="EU80" s="100"/>
      <c r="EV80" s="100"/>
      <c r="EW80" s="100"/>
      <c r="EX80" s="100"/>
      <c r="EY80" s="7"/>
      <c r="EZ80" s="7"/>
      <c r="FA80" s="7"/>
      <c r="FB80" s="7"/>
      <c r="FC80" s="7"/>
      <c r="FD80" s="7"/>
      <c r="FE80" s="97" t="str">
        <f t="shared" si="32"/>
        <v/>
      </c>
      <c r="FF80" s="7"/>
      <c r="FG80" s="7"/>
      <c r="FH80" s="7"/>
      <c r="FI80" s="7"/>
      <c r="FJ80" s="7"/>
      <c r="FK80" s="7"/>
      <c r="FL80" s="7"/>
      <c r="FM80" s="7"/>
      <c r="FN80" s="7"/>
      <c r="FO80" s="7"/>
      <c r="FP80" s="95" t="s">
        <v>217</v>
      </c>
      <c r="FQ80" s="97" t="str">
        <f t="shared" si="316"/>
        <v/>
      </c>
      <c r="FR80" s="95" t="s">
        <v>217</v>
      </c>
      <c r="FS80" s="7"/>
      <c r="FT80" s="97" t="str">
        <f t="shared" si="317"/>
        <v/>
      </c>
      <c r="FU80" s="97" t="str">
        <f t="shared" si="318"/>
        <v/>
      </c>
      <c r="FV80" s="100"/>
      <c r="FW80" s="7"/>
      <c r="FX80" s="7"/>
      <c r="FY80" s="7"/>
      <c r="FZ80" s="95" t="s">
        <v>217</v>
      </c>
      <c r="GA80" s="7"/>
      <c r="GB80" s="7"/>
      <c r="GC80" s="7"/>
      <c r="GD80" s="7"/>
      <c r="GE80" s="95" t="s">
        <v>217</v>
      </c>
      <c r="GF80" s="7"/>
      <c r="GG80" s="7"/>
      <c r="GH80" s="7"/>
      <c r="GI80" s="7"/>
      <c r="GJ80" s="7"/>
      <c r="GK80" s="7"/>
      <c r="GL80" s="7"/>
      <c r="GM80" s="7"/>
      <c r="GN80" s="95">
        <v>1.0</v>
      </c>
      <c r="GO80" s="95" t="s">
        <v>1094</v>
      </c>
      <c r="GP80" s="105">
        <v>240.0</v>
      </c>
      <c r="GQ80" s="7"/>
      <c r="GR80" s="95" t="s">
        <v>217</v>
      </c>
      <c r="GS80" s="95" t="s">
        <v>217</v>
      </c>
      <c r="GT80" s="7"/>
      <c r="GU80" s="61" t="str">
        <f t="shared" si="36"/>
        <v/>
      </c>
      <c r="GV80" s="61" t="str">
        <f t="shared" si="37"/>
        <v/>
      </c>
      <c r="GW80" s="61" t="str">
        <f t="shared" si="38"/>
        <v/>
      </c>
      <c r="GX80" s="61" t="str">
        <f t="shared" si="39"/>
        <v/>
      </c>
      <c r="GY80" s="61" t="str">
        <f t="shared" si="40"/>
        <v/>
      </c>
      <c r="GZ80" s="61" t="str">
        <f t="shared" si="41"/>
        <v/>
      </c>
      <c r="HA80" s="61" t="str">
        <f t="shared" si="42"/>
        <v/>
      </c>
      <c r="HB80" s="61" t="str">
        <f t="shared" si="43"/>
        <v/>
      </c>
      <c r="HC80" s="61" t="str">
        <f t="shared" si="44"/>
        <v/>
      </c>
      <c r="HD80" s="61" t="str">
        <f t="shared" si="45"/>
        <v/>
      </c>
      <c r="HE80" s="61" t="str">
        <f t="shared" si="46"/>
        <v/>
      </c>
      <c r="HF80" s="61" t="str">
        <f t="shared" si="47"/>
        <v/>
      </c>
      <c r="HG80" s="61" t="str">
        <f t="shared" si="48"/>
        <v/>
      </c>
      <c r="HH80" s="61" t="str">
        <f t="shared" si="49"/>
        <v/>
      </c>
      <c r="HI80" s="61" t="str">
        <f t="shared" si="50"/>
        <v/>
      </c>
      <c r="HJ80" s="61" t="str">
        <f t="shared" si="51"/>
        <v/>
      </c>
      <c r="HK80" s="61" t="str">
        <f t="shared" si="52"/>
        <v/>
      </c>
      <c r="HL80" s="61" t="str">
        <f t="shared" si="53"/>
        <v/>
      </c>
      <c r="HM80" s="61" t="str">
        <f t="shared" si="54"/>
        <v/>
      </c>
      <c r="HN80" s="61" t="str">
        <f t="shared" si="55"/>
        <v/>
      </c>
      <c r="HO80" s="61" t="str">
        <f t="shared" si="56"/>
        <v/>
      </c>
      <c r="HP80" s="61" t="str">
        <f t="shared" si="57"/>
        <v/>
      </c>
      <c r="HQ80" s="61" t="str">
        <f t="shared" si="58"/>
        <v/>
      </c>
      <c r="HR80" s="61" t="str">
        <f t="shared" si="59"/>
        <v/>
      </c>
      <c r="HS80" s="61" t="str">
        <f t="shared" si="60"/>
        <v/>
      </c>
      <c r="HT80" s="61" t="str">
        <f t="shared" si="61"/>
        <v/>
      </c>
      <c r="HU80" s="61" t="str">
        <f t="shared" si="62"/>
        <v/>
      </c>
      <c r="HV80" s="61" t="str">
        <f t="shared" si="63"/>
        <v/>
      </c>
      <c r="HW80" s="61" t="str">
        <f t="shared" si="64"/>
        <v/>
      </c>
      <c r="HX80" s="61" t="str">
        <f t="shared" si="65"/>
        <v/>
      </c>
      <c r="HY80" s="61" t="str">
        <f t="shared" si="66"/>
        <v/>
      </c>
      <c r="HZ80" s="61" t="str">
        <f t="shared" si="67"/>
        <v/>
      </c>
    </row>
    <row r="81" ht="1.5" customHeight="1">
      <c r="A81" s="49" t="s">
        <v>1095</v>
      </c>
      <c r="B81" s="95" t="s">
        <v>1088</v>
      </c>
      <c r="C81" s="117" t="s">
        <v>1096</v>
      </c>
      <c r="D81" s="95" t="s">
        <v>209</v>
      </c>
      <c r="E81" s="96" t="str">
        <f t="shared" si="3"/>
        <v/>
      </c>
      <c r="F81" s="95" t="s">
        <v>245</v>
      </c>
      <c r="G81" s="95" t="s">
        <v>211</v>
      </c>
      <c r="H81" s="95">
        <v>2002.0</v>
      </c>
      <c r="I81" s="7"/>
      <c r="J81" s="95" t="s">
        <v>1097</v>
      </c>
      <c r="K81" s="97" t="str">
        <f t="shared" si="292"/>
        <v/>
      </c>
      <c r="L81" s="97">
        <f t="shared" si="293"/>
        <v>1</v>
      </c>
      <c r="M81" s="97" t="str">
        <f t="shared" si="294"/>
        <v/>
      </c>
      <c r="N81" s="97" t="str">
        <f t="shared" si="295"/>
        <v/>
      </c>
      <c r="O81" s="97" t="str">
        <f t="shared" si="296"/>
        <v/>
      </c>
      <c r="P81" s="97" t="str">
        <f t="shared" si="297"/>
        <v/>
      </c>
      <c r="Q81" s="97" t="b">
        <f t="shared" si="261"/>
        <v>1</v>
      </c>
      <c r="R81" s="97" t="b">
        <f t="shared" si="298"/>
        <v>1</v>
      </c>
      <c r="S81" s="95">
        <v>1.0</v>
      </c>
      <c r="T81" s="95">
        <v>1.0</v>
      </c>
      <c r="U81" s="95">
        <v>1.0</v>
      </c>
      <c r="V81" s="97" t="b">
        <f t="shared" si="299"/>
        <v>1</v>
      </c>
      <c r="W81" s="95">
        <v>1.0</v>
      </c>
      <c r="X81" s="95">
        <v>1.0</v>
      </c>
      <c r="Y81" s="95">
        <v>1.0</v>
      </c>
      <c r="Z81" s="7"/>
      <c r="AA81" s="97" t="str">
        <f t="shared" si="300"/>
        <v/>
      </c>
      <c r="AB81" s="97" t="str">
        <f t="shared" si="301"/>
        <v/>
      </c>
      <c r="AC81" s="98" t="s">
        <v>1098</v>
      </c>
      <c r="AD81" s="95" t="s">
        <v>214</v>
      </c>
      <c r="AE81" s="7"/>
      <c r="AF81" s="97">
        <f>countif('Charts-SLR'!A:A,AD81)</f>
        <v>1</v>
      </c>
      <c r="AG81" s="95" t="s">
        <v>334</v>
      </c>
      <c r="AH81" s="97">
        <f t="shared" si="302"/>
        <v>0</v>
      </c>
      <c r="AI81" s="95" t="s">
        <v>250</v>
      </c>
      <c r="AJ81" s="95">
        <v>134.0</v>
      </c>
      <c r="AK81" s="99">
        <f t="shared" si="303"/>
        <v>13.4</v>
      </c>
      <c r="AL81" s="97" t="str">
        <f t="shared" si="304"/>
        <v/>
      </c>
      <c r="AM81" s="97">
        <f t="shared" si="305"/>
        <v>134</v>
      </c>
      <c r="AN81" s="97" t="str">
        <f t="shared" si="306"/>
        <v/>
      </c>
      <c r="AO81" s="97" t="str">
        <f t="shared" si="307"/>
        <v/>
      </c>
      <c r="AP81" s="97" t="str">
        <f t="shared" si="308"/>
        <v/>
      </c>
      <c r="AQ81" s="97" t="str">
        <f t="shared" si="309"/>
        <v/>
      </c>
      <c r="AR81" s="100"/>
      <c r="AS81" s="100"/>
      <c r="AT81" s="100"/>
      <c r="AU81" s="100"/>
      <c r="AV81" s="100"/>
      <c r="AW81" s="100"/>
      <c r="AX81" s="100"/>
      <c r="AY81" s="100"/>
      <c r="AZ81" s="100"/>
      <c r="BA81" s="100"/>
      <c r="BB81" s="101" t="str">
        <f t="shared" si="106"/>
        <v>ERR</v>
      </c>
      <c r="BC81" s="102" t="s">
        <v>217</v>
      </c>
      <c r="BD81" s="102" t="s">
        <v>217</v>
      </c>
      <c r="BE81" s="102" t="s">
        <v>217</v>
      </c>
      <c r="BF81" s="100"/>
      <c r="BG81" s="100"/>
      <c r="BH81" s="100"/>
      <c r="BI81" s="103">
        <f t="shared" si="310"/>
        <v>3</v>
      </c>
      <c r="BJ81" s="100"/>
      <c r="BK81" s="100"/>
      <c r="BL81" s="100"/>
      <c r="BM81" s="102" t="s">
        <v>1099</v>
      </c>
      <c r="BN81" s="102" t="s">
        <v>218</v>
      </c>
      <c r="BO81" s="102" t="s">
        <v>217</v>
      </c>
      <c r="BP81" s="100"/>
      <c r="BQ81" s="100"/>
      <c r="BR81" s="100"/>
      <c r="BS81" s="100"/>
      <c r="BT81" s="100"/>
      <c r="BU81" s="74"/>
      <c r="BV81" s="102" t="s">
        <v>217</v>
      </c>
      <c r="BW81" s="100"/>
      <c r="BX81" s="102" t="s">
        <v>217</v>
      </c>
      <c r="BY81" s="102" t="s">
        <v>217</v>
      </c>
      <c r="BZ81" s="100"/>
      <c r="CA81" s="102" t="s">
        <v>217</v>
      </c>
      <c r="CB81" s="102" t="s">
        <v>217</v>
      </c>
      <c r="CC81" s="102" t="s">
        <v>217</v>
      </c>
      <c r="CD81" s="100"/>
      <c r="CE81" s="100"/>
      <c r="CF81" s="100"/>
      <c r="CG81" s="102" t="s">
        <v>217</v>
      </c>
      <c r="CH81" s="102" t="s">
        <v>217</v>
      </c>
      <c r="CI81" s="103" t="str">
        <f t="shared" si="260"/>
        <v>x</v>
      </c>
      <c r="CJ81" s="103">
        <f t="shared" si="311"/>
        <v>1</v>
      </c>
      <c r="CK81" s="102" t="s">
        <v>217</v>
      </c>
      <c r="CL81" s="102" t="s">
        <v>217</v>
      </c>
      <c r="CM81" s="100"/>
      <c r="CN81" s="102" t="s">
        <v>217</v>
      </c>
      <c r="CO81" s="100"/>
      <c r="CP81" s="102" t="s">
        <v>217</v>
      </c>
      <c r="CQ81" s="100"/>
      <c r="CR81" s="7"/>
      <c r="CS81" s="7"/>
      <c r="CT81" s="7"/>
      <c r="CU81" s="7"/>
      <c r="CV81" s="95" t="s">
        <v>217</v>
      </c>
      <c r="CW81" s="7"/>
      <c r="CX81" s="7"/>
      <c r="CY81" s="7"/>
      <c r="CZ81" s="7"/>
      <c r="DA81" s="7"/>
      <c r="DB81" s="7"/>
      <c r="DC81" s="7"/>
      <c r="DD81" s="7"/>
      <c r="DE81" s="95" t="s">
        <v>217</v>
      </c>
      <c r="DF81" s="7"/>
      <c r="DG81" s="97">
        <f t="shared" si="108"/>
        <v>2</v>
      </c>
      <c r="DH81" s="95" t="s">
        <v>217</v>
      </c>
      <c r="DI81" s="7"/>
      <c r="DJ81" s="95" t="s">
        <v>217</v>
      </c>
      <c r="DK81" s="95" t="s">
        <v>217</v>
      </c>
      <c r="DL81" s="7"/>
      <c r="DM81" s="97">
        <f t="shared" si="312"/>
        <v>3</v>
      </c>
      <c r="DN81" s="7"/>
      <c r="DO81" s="95" t="s">
        <v>217</v>
      </c>
      <c r="DP81" s="97" t="str">
        <f t="shared" si="109"/>
        <v/>
      </c>
      <c r="DQ81" s="97" t="str">
        <f t="shared" si="110"/>
        <v/>
      </c>
      <c r="DR81" s="97" t="str">
        <f t="shared" si="111"/>
        <v>FA</v>
      </c>
      <c r="DS81" s="102" t="s">
        <v>268</v>
      </c>
      <c r="DT81" s="100"/>
      <c r="DU81" s="100"/>
      <c r="DV81" s="100"/>
      <c r="DW81" s="100"/>
      <c r="DX81" s="100"/>
      <c r="DY81" s="103">
        <f t="shared" si="29"/>
        <v>1</v>
      </c>
      <c r="DZ81" s="103" t="str">
        <f t="shared" si="319"/>
        <v/>
      </c>
      <c r="EA81" s="100"/>
      <c r="EB81" s="100"/>
      <c r="EC81" s="100"/>
      <c r="ED81" s="100"/>
      <c r="EE81" s="103">
        <f t="shared" si="30"/>
        <v>0</v>
      </c>
      <c r="EF81" s="103" t="str">
        <f t="shared" si="70"/>
        <v/>
      </c>
      <c r="EG81" s="97" t="str">
        <f t="shared" si="31"/>
        <v/>
      </c>
      <c r="EH81" s="7"/>
      <c r="EI81" s="7"/>
      <c r="EJ81" s="100"/>
      <c r="EK81" s="100"/>
      <c r="EL81" s="100"/>
      <c r="EM81" s="100"/>
      <c r="EN81" s="7"/>
      <c r="EO81" s="7"/>
      <c r="EP81" s="7"/>
      <c r="EQ81" s="7"/>
      <c r="ER81" s="7"/>
      <c r="ES81" s="7"/>
      <c r="ET81" s="100"/>
      <c r="EU81" s="100"/>
      <c r="EV81" s="100"/>
      <c r="EW81" s="100"/>
      <c r="EX81" s="100"/>
      <c r="EY81" s="7"/>
      <c r="EZ81" s="7"/>
      <c r="FA81" s="7"/>
      <c r="FB81" s="7"/>
      <c r="FC81" s="7"/>
      <c r="FD81" s="7"/>
      <c r="FE81" s="97" t="str">
        <f t="shared" si="32"/>
        <v/>
      </c>
      <c r="FF81" s="7"/>
      <c r="FG81" s="7"/>
      <c r="FH81" s="7"/>
      <c r="FI81" s="7"/>
      <c r="FJ81" s="7"/>
      <c r="FK81" s="7"/>
      <c r="FL81" s="7"/>
      <c r="FM81" s="7"/>
      <c r="FN81" s="7"/>
      <c r="FO81" s="7"/>
      <c r="FP81" s="95" t="s">
        <v>217</v>
      </c>
      <c r="FQ81" s="97" t="str">
        <f t="shared" si="316"/>
        <v/>
      </c>
      <c r="FR81" s="95" t="s">
        <v>217</v>
      </c>
      <c r="FS81" s="7"/>
      <c r="FT81" s="97" t="str">
        <f t="shared" si="317"/>
        <v/>
      </c>
      <c r="FU81" s="97" t="str">
        <f t="shared" si="318"/>
        <v/>
      </c>
      <c r="FV81" s="100"/>
      <c r="FW81" s="95" t="s">
        <v>217</v>
      </c>
      <c r="FX81" s="95" t="s">
        <v>217</v>
      </c>
      <c r="FY81" s="7"/>
      <c r="FZ81" s="7"/>
      <c r="GA81" s="7"/>
      <c r="GB81" s="7"/>
      <c r="GC81" s="7"/>
      <c r="GD81" s="95" t="s">
        <v>217</v>
      </c>
      <c r="GE81" s="95" t="s">
        <v>1100</v>
      </c>
      <c r="GF81" s="7"/>
      <c r="GG81" s="7"/>
      <c r="GH81" s="7"/>
      <c r="GI81" s="7"/>
      <c r="GJ81" s="7"/>
      <c r="GK81" s="7"/>
      <c r="GL81" s="95" t="s">
        <v>1101</v>
      </c>
      <c r="GM81" s="7"/>
      <c r="GN81" s="7"/>
      <c r="GO81" s="7"/>
      <c r="GP81" s="121"/>
      <c r="GQ81" s="95" t="s">
        <v>1102</v>
      </c>
      <c r="GR81" s="7"/>
      <c r="GS81" s="95" t="s">
        <v>217</v>
      </c>
      <c r="GT81" s="7"/>
      <c r="GU81" s="61" t="str">
        <f t="shared" si="36"/>
        <v>x</v>
      </c>
      <c r="GV81" s="61" t="str">
        <f t="shared" si="37"/>
        <v/>
      </c>
      <c r="GW81" s="61" t="str">
        <f t="shared" si="38"/>
        <v/>
      </c>
      <c r="GX81" s="61" t="str">
        <f t="shared" si="39"/>
        <v/>
      </c>
      <c r="GY81" s="61" t="str">
        <f t="shared" si="40"/>
        <v/>
      </c>
      <c r="GZ81" s="61" t="str">
        <f t="shared" si="41"/>
        <v/>
      </c>
      <c r="HA81" s="61" t="str">
        <f t="shared" si="42"/>
        <v/>
      </c>
      <c r="HB81" s="61" t="str">
        <f t="shared" si="43"/>
        <v/>
      </c>
      <c r="HC81" s="61" t="str">
        <f t="shared" si="44"/>
        <v/>
      </c>
      <c r="HD81" s="61" t="str">
        <f t="shared" si="45"/>
        <v>x</v>
      </c>
      <c r="HE81" s="61" t="str">
        <f t="shared" si="46"/>
        <v/>
      </c>
      <c r="HF81" s="61" t="str">
        <f t="shared" si="47"/>
        <v/>
      </c>
      <c r="HG81" s="61" t="str">
        <f t="shared" si="48"/>
        <v/>
      </c>
      <c r="HH81" s="61" t="str">
        <f t="shared" si="49"/>
        <v/>
      </c>
      <c r="HI81" s="61" t="str">
        <f t="shared" si="50"/>
        <v/>
      </c>
      <c r="HJ81" s="61" t="str">
        <f t="shared" si="51"/>
        <v/>
      </c>
      <c r="HK81" s="61" t="str">
        <f t="shared" si="52"/>
        <v/>
      </c>
      <c r="HL81" s="61" t="str">
        <f t="shared" si="53"/>
        <v/>
      </c>
      <c r="HM81" s="61" t="str">
        <f t="shared" si="54"/>
        <v/>
      </c>
      <c r="HN81" s="61" t="str">
        <f t="shared" si="55"/>
        <v/>
      </c>
      <c r="HO81" s="61" t="str">
        <f t="shared" si="56"/>
        <v/>
      </c>
      <c r="HP81" s="61" t="str">
        <f t="shared" si="57"/>
        <v/>
      </c>
      <c r="HQ81" s="61" t="str">
        <f t="shared" si="58"/>
        <v/>
      </c>
      <c r="HR81" s="61" t="str">
        <f t="shared" si="59"/>
        <v/>
      </c>
      <c r="HS81" s="61" t="str">
        <f t="shared" si="60"/>
        <v/>
      </c>
      <c r="HT81" s="61" t="str">
        <f t="shared" si="61"/>
        <v/>
      </c>
      <c r="HU81" s="61" t="str">
        <f t="shared" si="62"/>
        <v/>
      </c>
      <c r="HV81" s="61" t="str">
        <f t="shared" si="63"/>
        <v/>
      </c>
      <c r="HW81" s="61" t="str">
        <f t="shared" si="64"/>
        <v/>
      </c>
      <c r="HX81" s="61" t="str">
        <f t="shared" si="65"/>
        <v/>
      </c>
      <c r="HY81" s="61" t="str">
        <f t="shared" si="66"/>
        <v/>
      </c>
      <c r="HZ81" s="61" t="str">
        <f t="shared" si="67"/>
        <v/>
      </c>
    </row>
    <row r="82" ht="1.5" customHeight="1">
      <c r="A82" s="49" t="s">
        <v>1103</v>
      </c>
      <c r="B82" s="95" t="s">
        <v>1104</v>
      </c>
      <c r="C82" s="117" t="s">
        <v>1105</v>
      </c>
      <c r="D82" s="95" t="s">
        <v>209</v>
      </c>
      <c r="E82" s="96" t="str">
        <f t="shared" si="3"/>
        <v/>
      </c>
      <c r="F82" s="95" t="s">
        <v>245</v>
      </c>
      <c r="G82" s="95" t="s">
        <v>211</v>
      </c>
      <c r="H82" s="95">
        <v>2005.0</v>
      </c>
      <c r="I82" s="7"/>
      <c r="J82" s="95" t="s">
        <v>1106</v>
      </c>
      <c r="K82" s="97" t="str">
        <f t="shared" si="292"/>
        <v/>
      </c>
      <c r="L82" s="97">
        <f t="shared" si="293"/>
        <v>1</v>
      </c>
      <c r="M82" s="97" t="str">
        <f t="shared" si="294"/>
        <v/>
      </c>
      <c r="N82" s="97" t="str">
        <f t="shared" si="295"/>
        <v/>
      </c>
      <c r="O82" s="97" t="str">
        <f t="shared" si="296"/>
        <v/>
      </c>
      <c r="P82" s="97" t="str">
        <f t="shared" si="297"/>
        <v/>
      </c>
      <c r="Q82" s="97" t="b">
        <f t="shared" si="261"/>
        <v>1</v>
      </c>
      <c r="R82" s="97" t="b">
        <f t="shared" si="298"/>
        <v>1</v>
      </c>
      <c r="S82" s="95">
        <v>1.0</v>
      </c>
      <c r="T82" s="95">
        <v>1.0</v>
      </c>
      <c r="U82" s="95">
        <v>1.0</v>
      </c>
      <c r="V82" s="97" t="b">
        <f t="shared" si="299"/>
        <v>1</v>
      </c>
      <c r="W82" s="95">
        <v>1.0</v>
      </c>
      <c r="X82" s="95">
        <v>1.0</v>
      </c>
      <c r="Y82" s="95">
        <v>1.0</v>
      </c>
      <c r="Z82" s="7"/>
      <c r="AA82" s="97" t="str">
        <f t="shared" si="300"/>
        <v/>
      </c>
      <c r="AB82" s="97" t="str">
        <f t="shared" si="301"/>
        <v/>
      </c>
      <c r="AC82" s="98" t="s">
        <v>1107</v>
      </c>
      <c r="AD82" s="95" t="s">
        <v>266</v>
      </c>
      <c r="AE82" s="7"/>
      <c r="AF82" s="97">
        <f>countif('Charts-SLR'!A:A,AD82)</f>
        <v>1</v>
      </c>
      <c r="AG82" s="95" t="s">
        <v>875</v>
      </c>
      <c r="AH82" s="97">
        <f t="shared" si="302"/>
        <v>0</v>
      </c>
      <c r="AI82" s="95" t="s">
        <v>231</v>
      </c>
      <c r="AJ82" s="95">
        <v>204.0</v>
      </c>
      <c r="AK82" s="99">
        <f t="shared" si="303"/>
        <v>29.14285714</v>
      </c>
      <c r="AL82" s="97">
        <f t="shared" si="304"/>
        <v>204</v>
      </c>
      <c r="AM82" s="97" t="str">
        <f t="shared" si="305"/>
        <v/>
      </c>
      <c r="AN82" s="97" t="str">
        <f t="shared" si="306"/>
        <v/>
      </c>
      <c r="AO82" s="97" t="str">
        <f t="shared" si="307"/>
        <v/>
      </c>
      <c r="AP82" s="97" t="str">
        <f t="shared" si="308"/>
        <v/>
      </c>
      <c r="AQ82" s="97" t="str">
        <f t="shared" si="309"/>
        <v/>
      </c>
      <c r="AR82" s="100"/>
      <c r="AS82" s="100"/>
      <c r="AT82" s="100"/>
      <c r="AU82" s="100"/>
      <c r="AV82" s="100"/>
      <c r="AW82" s="100"/>
      <c r="AX82" s="100"/>
      <c r="AY82" s="100"/>
      <c r="AZ82" s="100"/>
      <c r="BA82" s="100"/>
      <c r="BB82" s="101" t="str">
        <f t="shared" si="106"/>
        <v>ERR</v>
      </c>
      <c r="BC82" s="102" t="s">
        <v>217</v>
      </c>
      <c r="BD82" s="100"/>
      <c r="BE82" s="100"/>
      <c r="BF82" s="100"/>
      <c r="BG82" s="102" t="s">
        <v>217</v>
      </c>
      <c r="BH82" s="100"/>
      <c r="BI82" s="103">
        <f t="shared" si="310"/>
        <v>2</v>
      </c>
      <c r="BJ82" s="100"/>
      <c r="BK82" s="100"/>
      <c r="BL82" s="100"/>
      <c r="BM82" s="100"/>
      <c r="BN82" s="100"/>
      <c r="BO82" s="102" t="s">
        <v>217</v>
      </c>
      <c r="BP82" s="100"/>
      <c r="BQ82" s="100"/>
      <c r="BR82" s="100"/>
      <c r="BS82" s="100"/>
      <c r="BT82" s="100"/>
      <c r="BU82" s="74"/>
      <c r="BV82" s="102" t="s">
        <v>217</v>
      </c>
      <c r="BW82" s="100"/>
      <c r="BX82" s="100"/>
      <c r="BY82" s="102" t="s">
        <v>217</v>
      </c>
      <c r="BZ82" s="100"/>
      <c r="CA82" s="100"/>
      <c r="CB82" s="100"/>
      <c r="CC82" s="100"/>
      <c r="CD82" s="100"/>
      <c r="CE82" s="100"/>
      <c r="CF82" s="100"/>
      <c r="CG82" s="100"/>
      <c r="CH82" s="102" t="s">
        <v>217</v>
      </c>
      <c r="CI82" s="103" t="str">
        <f t="shared" si="260"/>
        <v/>
      </c>
      <c r="CJ82" s="103">
        <f t="shared" si="311"/>
        <v>2</v>
      </c>
      <c r="CK82" s="100"/>
      <c r="CL82" s="100"/>
      <c r="CM82" s="102" t="s">
        <v>217</v>
      </c>
      <c r="CN82" s="100"/>
      <c r="CO82" s="100"/>
      <c r="CP82" s="100"/>
      <c r="CQ82" s="100"/>
      <c r="CR82" s="7"/>
      <c r="CS82" s="7"/>
      <c r="CT82" s="95" t="s">
        <v>217</v>
      </c>
      <c r="CU82" s="7"/>
      <c r="CV82" s="7"/>
      <c r="CW82" s="7"/>
      <c r="CX82" s="7"/>
      <c r="CY82" s="7"/>
      <c r="CZ82" s="7"/>
      <c r="DA82" s="7"/>
      <c r="DB82" s="7"/>
      <c r="DC82" s="7"/>
      <c r="DD82" s="7"/>
      <c r="DE82" s="95" t="s">
        <v>217</v>
      </c>
      <c r="DF82" s="7"/>
      <c r="DG82" s="97">
        <f t="shared" si="108"/>
        <v>1</v>
      </c>
      <c r="DH82" s="95" t="s">
        <v>217</v>
      </c>
      <c r="DI82" s="7"/>
      <c r="DJ82" s="7"/>
      <c r="DK82" s="7"/>
      <c r="DL82" s="7"/>
      <c r="DM82" s="97">
        <f t="shared" si="312"/>
        <v>1</v>
      </c>
      <c r="DN82" s="7"/>
      <c r="DO82" s="95" t="s">
        <v>217</v>
      </c>
      <c r="DP82" s="97" t="str">
        <f t="shared" si="109"/>
        <v/>
      </c>
      <c r="DQ82" s="97" t="str">
        <f t="shared" si="110"/>
        <v/>
      </c>
      <c r="DR82" s="97" t="str">
        <f t="shared" si="111"/>
        <v>FA</v>
      </c>
      <c r="DS82" s="100"/>
      <c r="DT82" s="100"/>
      <c r="DU82" s="100"/>
      <c r="DV82" s="100"/>
      <c r="DW82" s="100"/>
      <c r="DX82" s="100"/>
      <c r="DY82" s="103">
        <f t="shared" si="29"/>
        <v>0</v>
      </c>
      <c r="DZ82" s="103" t="str">
        <f t="shared" si="319"/>
        <v/>
      </c>
      <c r="EA82" s="100"/>
      <c r="EB82" s="100"/>
      <c r="EC82" s="100"/>
      <c r="ED82" s="100"/>
      <c r="EE82" s="103">
        <f t="shared" si="30"/>
        <v>0</v>
      </c>
      <c r="EF82" s="103" t="str">
        <f t="shared" si="70"/>
        <v/>
      </c>
      <c r="EG82" s="97" t="str">
        <f t="shared" si="31"/>
        <v/>
      </c>
      <c r="EH82" s="7"/>
      <c r="EI82" s="7"/>
      <c r="EJ82" s="100"/>
      <c r="EK82" s="100"/>
      <c r="EL82" s="100"/>
      <c r="EM82" s="100"/>
      <c r="EN82" s="7"/>
      <c r="EO82" s="95" t="s">
        <v>217</v>
      </c>
      <c r="EP82" s="7"/>
      <c r="EQ82" s="7"/>
      <c r="ER82" s="7"/>
      <c r="ES82" s="7"/>
      <c r="ET82" s="100"/>
      <c r="EU82" s="100"/>
      <c r="EV82" s="100"/>
      <c r="EW82" s="100"/>
      <c r="EX82" s="100"/>
      <c r="EY82" s="7"/>
      <c r="EZ82" s="7"/>
      <c r="FA82" s="7"/>
      <c r="FB82" s="7"/>
      <c r="FC82" s="7"/>
      <c r="FD82" s="7"/>
      <c r="FE82" s="97" t="str">
        <f t="shared" si="32"/>
        <v/>
      </c>
      <c r="FF82" s="7"/>
      <c r="FG82" s="7"/>
      <c r="FH82" s="7"/>
      <c r="FI82" s="7"/>
      <c r="FJ82" s="7"/>
      <c r="FK82" s="7"/>
      <c r="FL82" s="7"/>
      <c r="FM82" s="7"/>
      <c r="FN82" s="7"/>
      <c r="FO82" s="7"/>
      <c r="FP82" s="95" t="s">
        <v>217</v>
      </c>
      <c r="FQ82" s="97" t="str">
        <f t="shared" si="316"/>
        <v/>
      </c>
      <c r="FR82" s="95" t="s">
        <v>217</v>
      </c>
      <c r="FS82" s="7"/>
      <c r="FT82" s="97" t="str">
        <f t="shared" si="317"/>
        <v/>
      </c>
      <c r="FU82" s="97" t="str">
        <f t="shared" si="318"/>
        <v/>
      </c>
      <c r="FV82" s="100"/>
      <c r="FW82" s="7"/>
      <c r="FX82" s="7"/>
      <c r="FY82" s="7"/>
      <c r="FZ82" s="7"/>
      <c r="GA82" s="95" t="s">
        <v>217</v>
      </c>
      <c r="GB82" s="7"/>
      <c r="GC82" s="7"/>
      <c r="GD82" s="7"/>
      <c r="GE82" s="7"/>
      <c r="GF82" s="7"/>
      <c r="GG82" s="7"/>
      <c r="GH82" s="7"/>
      <c r="GI82" s="7"/>
      <c r="GJ82" s="95" t="s">
        <v>217</v>
      </c>
      <c r="GK82" s="7"/>
      <c r="GL82" s="95" t="s">
        <v>1108</v>
      </c>
      <c r="GM82" s="7"/>
      <c r="GN82" s="95">
        <v>1.0</v>
      </c>
      <c r="GO82" s="95" t="s">
        <v>1109</v>
      </c>
      <c r="GP82" s="121"/>
      <c r="GQ82" s="95" t="s">
        <v>1110</v>
      </c>
      <c r="GR82" s="95" t="s">
        <v>217</v>
      </c>
      <c r="GS82" s="7"/>
      <c r="GT82" s="7"/>
      <c r="GU82" s="61" t="str">
        <f t="shared" si="36"/>
        <v/>
      </c>
      <c r="GV82" s="61" t="str">
        <f t="shared" si="37"/>
        <v/>
      </c>
      <c r="GW82" s="61" t="str">
        <f t="shared" si="38"/>
        <v/>
      </c>
      <c r="GX82" s="61" t="str">
        <f t="shared" si="39"/>
        <v/>
      </c>
      <c r="GY82" s="61" t="str">
        <f t="shared" si="40"/>
        <v/>
      </c>
      <c r="GZ82" s="61" t="str">
        <f t="shared" si="41"/>
        <v/>
      </c>
      <c r="HA82" s="61" t="str">
        <f t="shared" si="42"/>
        <v/>
      </c>
      <c r="HB82" s="61" t="str">
        <f t="shared" si="43"/>
        <v/>
      </c>
      <c r="HC82" s="61" t="str">
        <f t="shared" si="44"/>
        <v/>
      </c>
      <c r="HD82" s="61" t="str">
        <f t="shared" si="45"/>
        <v/>
      </c>
      <c r="HE82" s="61" t="str">
        <f t="shared" si="46"/>
        <v/>
      </c>
      <c r="HF82" s="61" t="str">
        <f t="shared" si="47"/>
        <v/>
      </c>
      <c r="HG82" s="61" t="str">
        <f t="shared" si="48"/>
        <v/>
      </c>
      <c r="HH82" s="61" t="str">
        <f t="shared" si="49"/>
        <v/>
      </c>
      <c r="HI82" s="61" t="str">
        <f t="shared" si="50"/>
        <v/>
      </c>
      <c r="HJ82" s="61" t="str">
        <f t="shared" si="51"/>
        <v/>
      </c>
      <c r="HK82" s="61" t="str">
        <f t="shared" si="52"/>
        <v/>
      </c>
      <c r="HL82" s="61" t="str">
        <f t="shared" si="53"/>
        <v/>
      </c>
      <c r="HM82" s="61" t="str">
        <f t="shared" si="54"/>
        <v/>
      </c>
      <c r="HN82" s="61" t="str">
        <f t="shared" si="55"/>
        <v/>
      </c>
      <c r="HO82" s="61" t="str">
        <f t="shared" si="56"/>
        <v/>
      </c>
      <c r="HP82" s="61" t="str">
        <f t="shared" si="57"/>
        <v/>
      </c>
      <c r="HQ82" s="61" t="str">
        <f t="shared" si="58"/>
        <v/>
      </c>
      <c r="HR82" s="61" t="str">
        <f t="shared" si="59"/>
        <v/>
      </c>
      <c r="HS82" s="61" t="str">
        <f t="shared" si="60"/>
        <v/>
      </c>
      <c r="HT82" s="61" t="str">
        <f t="shared" si="61"/>
        <v/>
      </c>
      <c r="HU82" s="61" t="str">
        <f t="shared" si="62"/>
        <v/>
      </c>
      <c r="HV82" s="61" t="str">
        <f t="shared" si="63"/>
        <v/>
      </c>
      <c r="HW82" s="61" t="str">
        <f t="shared" si="64"/>
        <v/>
      </c>
      <c r="HX82" s="61" t="str">
        <f t="shared" si="65"/>
        <v/>
      </c>
      <c r="HY82" s="61" t="str">
        <f t="shared" si="66"/>
        <v/>
      </c>
      <c r="HZ82" s="61" t="str">
        <f t="shared" si="67"/>
        <v/>
      </c>
    </row>
    <row r="83" ht="1.5" customHeight="1">
      <c r="A83" s="49" t="s">
        <v>1111</v>
      </c>
      <c r="B83" s="147" t="s">
        <v>1112</v>
      </c>
      <c r="C83" s="117" t="s">
        <v>1113</v>
      </c>
      <c r="D83" s="95" t="s">
        <v>210</v>
      </c>
      <c r="E83" s="96" t="str">
        <f t="shared" si="3"/>
        <v/>
      </c>
      <c r="F83" s="95" t="s">
        <v>209</v>
      </c>
      <c r="G83" s="95" t="s">
        <v>211</v>
      </c>
      <c r="H83" s="95">
        <v>2005.0</v>
      </c>
      <c r="I83" s="7"/>
      <c r="J83" s="95" t="s">
        <v>1114</v>
      </c>
      <c r="K83" s="97" t="str">
        <f t="shared" si="292"/>
        <v/>
      </c>
      <c r="L83" s="97" t="str">
        <f t="shared" si="293"/>
        <v/>
      </c>
      <c r="M83" s="97">
        <f t="shared" si="294"/>
        <v>1</v>
      </c>
      <c r="N83" s="97" t="str">
        <f t="shared" si="295"/>
        <v/>
      </c>
      <c r="O83" s="97" t="str">
        <f t="shared" si="296"/>
        <v/>
      </c>
      <c r="P83" s="97" t="str">
        <f t="shared" si="297"/>
        <v/>
      </c>
      <c r="Q83" s="97" t="b">
        <f t="shared" si="261"/>
        <v>0</v>
      </c>
      <c r="R83" s="97" t="b">
        <f t="shared" si="298"/>
        <v>1</v>
      </c>
      <c r="S83" s="95">
        <v>1.0</v>
      </c>
      <c r="T83" s="95">
        <v>1.0</v>
      </c>
      <c r="U83" s="95">
        <v>1.0</v>
      </c>
      <c r="V83" s="97" t="b">
        <f t="shared" si="299"/>
        <v>0</v>
      </c>
      <c r="W83" s="95">
        <v>0.0</v>
      </c>
      <c r="X83" s="95">
        <v>1.0</v>
      </c>
      <c r="Y83" s="7"/>
      <c r="Z83" s="95" t="s">
        <v>1115</v>
      </c>
      <c r="AA83" s="97" t="str">
        <f t="shared" si="300"/>
        <v/>
      </c>
      <c r="AB83" s="97" t="str">
        <f t="shared" si="301"/>
        <v/>
      </c>
      <c r="AC83" s="98" t="s">
        <v>1116</v>
      </c>
      <c r="AD83" s="95" t="s">
        <v>214</v>
      </c>
      <c r="AE83" s="7"/>
      <c r="AF83" s="97">
        <f>countif('Charts-SLR'!A:A,AD83)</f>
        <v>1</v>
      </c>
      <c r="AG83" s="95" t="s">
        <v>1117</v>
      </c>
      <c r="AH83" s="97">
        <f t="shared" si="302"/>
        <v>0</v>
      </c>
      <c r="AI83" s="95" t="s">
        <v>268</v>
      </c>
      <c r="AJ83" s="95">
        <v>28.0</v>
      </c>
      <c r="AK83" s="99">
        <f t="shared" si="303"/>
        <v>4</v>
      </c>
      <c r="AL83" s="97" t="str">
        <f t="shared" si="304"/>
        <v/>
      </c>
      <c r="AM83" s="97" t="str">
        <f t="shared" si="305"/>
        <v/>
      </c>
      <c r="AN83" s="97" t="str">
        <f t="shared" si="306"/>
        <v/>
      </c>
      <c r="AO83" s="97" t="str">
        <f t="shared" si="307"/>
        <v/>
      </c>
      <c r="AP83" s="97">
        <f t="shared" si="308"/>
        <v>28</v>
      </c>
      <c r="AQ83" s="97" t="str">
        <f t="shared" si="309"/>
        <v/>
      </c>
      <c r="AR83" s="100"/>
      <c r="AS83" s="100"/>
      <c r="AT83" s="100"/>
      <c r="AU83" s="100"/>
      <c r="AV83" s="100"/>
      <c r="AW83" s="100"/>
      <c r="AX83" s="100"/>
      <c r="AY83" s="100"/>
      <c r="AZ83" s="100"/>
      <c r="BA83" s="100"/>
      <c r="BB83" s="101" t="str">
        <f t="shared" si="106"/>
        <v>ERR</v>
      </c>
      <c r="BC83" s="102" t="s">
        <v>217</v>
      </c>
      <c r="BD83" s="102" t="s">
        <v>217</v>
      </c>
      <c r="BE83" s="102" t="s">
        <v>217</v>
      </c>
      <c r="BF83" s="100"/>
      <c r="BG83" s="100"/>
      <c r="BH83" s="100"/>
      <c r="BI83" s="103">
        <f t="shared" si="310"/>
        <v>3</v>
      </c>
      <c r="BJ83" s="102" t="s">
        <v>217</v>
      </c>
      <c r="BK83" s="100"/>
      <c r="BL83" s="100"/>
      <c r="BM83" s="100"/>
      <c r="BN83" s="102" t="s">
        <v>218</v>
      </c>
      <c r="BO83" s="102" t="s">
        <v>217</v>
      </c>
      <c r="BP83" s="100"/>
      <c r="BQ83" s="100"/>
      <c r="BR83" s="100"/>
      <c r="BS83" s="100"/>
      <c r="BT83" s="100"/>
      <c r="BU83" s="74"/>
      <c r="BV83" s="102" t="s">
        <v>217</v>
      </c>
      <c r="BW83" s="100"/>
      <c r="BX83" s="100"/>
      <c r="BY83" s="102" t="s">
        <v>217</v>
      </c>
      <c r="BZ83" s="100"/>
      <c r="CA83" s="102" t="s">
        <v>217</v>
      </c>
      <c r="CB83" s="102" t="s">
        <v>217</v>
      </c>
      <c r="CC83" s="100"/>
      <c r="CD83" s="100"/>
      <c r="CE83" s="100"/>
      <c r="CF83" s="100"/>
      <c r="CG83" s="100"/>
      <c r="CH83" s="100"/>
      <c r="CI83" s="103" t="str">
        <f t="shared" si="260"/>
        <v/>
      </c>
      <c r="CJ83" s="103">
        <f t="shared" si="311"/>
        <v>3</v>
      </c>
      <c r="CK83" s="102" t="s">
        <v>217</v>
      </c>
      <c r="CL83" s="100"/>
      <c r="CM83" s="102" t="s">
        <v>217</v>
      </c>
      <c r="CN83" s="100"/>
      <c r="CO83" s="102" t="s">
        <v>217</v>
      </c>
      <c r="CP83" s="100"/>
      <c r="CQ83" s="100"/>
      <c r="CR83" s="7"/>
      <c r="CS83" s="95" t="s">
        <v>217</v>
      </c>
      <c r="CT83" s="7"/>
      <c r="CU83" s="7"/>
      <c r="CV83" s="7"/>
      <c r="CW83" s="7"/>
      <c r="CX83" s="95" t="s">
        <v>217</v>
      </c>
      <c r="CY83" s="7"/>
      <c r="CZ83" s="7"/>
      <c r="DA83" s="7"/>
      <c r="DB83" s="7"/>
      <c r="DC83" s="7"/>
      <c r="DD83" s="7"/>
      <c r="DE83" s="95" t="s">
        <v>217</v>
      </c>
      <c r="DF83" s="7"/>
      <c r="DG83" s="97">
        <f t="shared" si="108"/>
        <v>2</v>
      </c>
      <c r="DH83" s="95" t="s">
        <v>217</v>
      </c>
      <c r="DI83" s="7"/>
      <c r="DJ83" s="7"/>
      <c r="DK83" s="95" t="s">
        <v>217</v>
      </c>
      <c r="DL83" s="7"/>
      <c r="DM83" s="97">
        <f t="shared" si="312"/>
        <v>2</v>
      </c>
      <c r="DN83" s="95" t="s">
        <v>217</v>
      </c>
      <c r="DO83" s="95" t="s">
        <v>217</v>
      </c>
      <c r="DP83" s="97" t="str">
        <f t="shared" si="109"/>
        <v>both</v>
      </c>
      <c r="DQ83" s="97" t="str">
        <f t="shared" si="110"/>
        <v/>
      </c>
      <c r="DR83" s="97" t="str">
        <f t="shared" si="111"/>
        <v/>
      </c>
      <c r="DS83" s="7"/>
      <c r="DT83" s="100"/>
      <c r="DU83" s="102" t="s">
        <v>466</v>
      </c>
      <c r="DV83" s="100"/>
      <c r="DW83" s="100"/>
      <c r="DX83" s="100"/>
      <c r="DY83" s="103">
        <f t="shared" si="29"/>
        <v>1</v>
      </c>
      <c r="DZ83" s="103" t="str">
        <f>if(AND(DU83&lt;&gt;"",DW83="x"), "x", "")</f>
        <v/>
      </c>
      <c r="EA83" s="100"/>
      <c r="EB83" s="100"/>
      <c r="EC83" s="100"/>
      <c r="ED83" s="100"/>
      <c r="EE83" s="103">
        <f t="shared" si="30"/>
        <v>0</v>
      </c>
      <c r="EF83" s="103" t="str">
        <f t="shared" si="70"/>
        <v/>
      </c>
      <c r="EG83" s="97" t="str">
        <f t="shared" si="31"/>
        <v/>
      </c>
      <c r="EH83" s="7"/>
      <c r="EI83" s="7"/>
      <c r="EJ83" s="100"/>
      <c r="EK83" s="100"/>
      <c r="EL83" s="100"/>
      <c r="EM83" s="100"/>
      <c r="EN83" s="7"/>
      <c r="EO83" s="7"/>
      <c r="EP83" s="7"/>
      <c r="EQ83" s="7"/>
      <c r="ER83" s="7"/>
      <c r="ES83" s="7"/>
      <c r="ET83" s="100"/>
      <c r="EU83" s="100"/>
      <c r="EV83" s="100"/>
      <c r="EW83" s="100"/>
      <c r="EX83" s="100"/>
      <c r="EY83" s="7"/>
      <c r="EZ83" s="7"/>
      <c r="FA83" s="7"/>
      <c r="FB83" s="7"/>
      <c r="FC83" s="7"/>
      <c r="FD83" s="7"/>
      <c r="FE83" s="97" t="str">
        <f t="shared" si="32"/>
        <v/>
      </c>
      <c r="FF83" s="7"/>
      <c r="FG83" s="7"/>
      <c r="FH83" s="7"/>
      <c r="FI83" s="7"/>
      <c r="FJ83" s="7"/>
      <c r="FK83" s="7"/>
      <c r="FL83" s="7"/>
      <c r="FM83" s="7"/>
      <c r="FN83" s="7"/>
      <c r="FO83" s="7"/>
      <c r="FP83" s="95" t="s">
        <v>217</v>
      </c>
      <c r="FQ83" s="97" t="str">
        <f t="shared" si="316"/>
        <v/>
      </c>
      <c r="FR83" s="95" t="s">
        <v>217</v>
      </c>
      <c r="FS83" s="7"/>
      <c r="FT83" s="97" t="str">
        <f t="shared" si="317"/>
        <v/>
      </c>
      <c r="FU83" s="97" t="str">
        <f t="shared" si="318"/>
        <v/>
      </c>
      <c r="FV83" s="100"/>
      <c r="FW83" s="95" t="s">
        <v>217</v>
      </c>
      <c r="FX83" s="7"/>
      <c r="FY83" s="7"/>
      <c r="FZ83" s="7"/>
      <c r="GA83" s="7"/>
      <c r="GB83" s="7"/>
      <c r="GC83" s="7"/>
      <c r="GD83" s="7"/>
      <c r="GE83" s="7"/>
      <c r="GF83" s="7"/>
      <c r="GG83" s="7"/>
      <c r="GH83" s="7"/>
      <c r="GI83" s="7"/>
      <c r="GJ83" s="95" t="s">
        <v>217</v>
      </c>
      <c r="GK83" s="7"/>
      <c r="GL83" s="95" t="s">
        <v>1118</v>
      </c>
      <c r="GM83" s="7"/>
      <c r="GN83" s="7"/>
      <c r="GO83" s="7"/>
      <c r="GP83" s="121"/>
      <c r="GQ83" s="95" t="s">
        <v>1119</v>
      </c>
      <c r="GR83" s="95" t="s">
        <v>217</v>
      </c>
      <c r="GS83" s="7"/>
      <c r="GT83" s="7"/>
      <c r="GU83" s="61" t="str">
        <f t="shared" si="36"/>
        <v/>
      </c>
      <c r="GV83" s="61" t="str">
        <f t="shared" si="37"/>
        <v/>
      </c>
      <c r="GW83" s="61" t="str">
        <f t="shared" si="38"/>
        <v/>
      </c>
      <c r="GX83" s="61" t="str">
        <f t="shared" si="39"/>
        <v/>
      </c>
      <c r="GY83" s="61" t="str">
        <f t="shared" si="40"/>
        <v/>
      </c>
      <c r="GZ83" s="61" t="str">
        <f t="shared" si="41"/>
        <v/>
      </c>
      <c r="HA83" s="61" t="str">
        <f t="shared" si="42"/>
        <v/>
      </c>
      <c r="HB83" s="61" t="str">
        <f t="shared" si="43"/>
        <v/>
      </c>
      <c r="HC83" s="61" t="str">
        <f t="shared" si="44"/>
        <v/>
      </c>
      <c r="HD83" s="61" t="str">
        <f t="shared" si="45"/>
        <v/>
      </c>
      <c r="HE83" s="61" t="str">
        <f t="shared" si="46"/>
        <v/>
      </c>
      <c r="HF83" s="61" t="str">
        <f t="shared" si="47"/>
        <v/>
      </c>
      <c r="HG83" s="61" t="str">
        <f t="shared" si="48"/>
        <v/>
      </c>
      <c r="HH83" s="61" t="str">
        <f t="shared" si="49"/>
        <v/>
      </c>
      <c r="HI83" s="61" t="str">
        <f t="shared" si="50"/>
        <v/>
      </c>
      <c r="HJ83" s="61" t="str">
        <f t="shared" si="51"/>
        <v/>
      </c>
      <c r="HK83" s="61" t="str">
        <f t="shared" si="52"/>
        <v/>
      </c>
      <c r="HL83" s="61" t="str">
        <f t="shared" si="53"/>
        <v/>
      </c>
      <c r="HM83" s="61" t="str">
        <f t="shared" si="54"/>
        <v/>
      </c>
      <c r="HN83" s="61" t="str">
        <f t="shared" si="55"/>
        <v/>
      </c>
      <c r="HO83" s="61" t="str">
        <f t="shared" si="56"/>
        <v/>
      </c>
      <c r="HP83" s="61" t="str">
        <f t="shared" si="57"/>
        <v/>
      </c>
      <c r="HQ83" s="61" t="str">
        <f t="shared" si="58"/>
        <v/>
      </c>
      <c r="HR83" s="61" t="str">
        <f t="shared" si="59"/>
        <v/>
      </c>
      <c r="HS83" s="61" t="str">
        <f t="shared" si="60"/>
        <v/>
      </c>
      <c r="HT83" s="61" t="str">
        <f t="shared" si="61"/>
        <v/>
      </c>
      <c r="HU83" s="61" t="str">
        <f t="shared" si="62"/>
        <v/>
      </c>
      <c r="HV83" s="61" t="str">
        <f t="shared" si="63"/>
        <v/>
      </c>
      <c r="HW83" s="61" t="str">
        <f t="shared" si="64"/>
        <v/>
      </c>
      <c r="HX83" s="61" t="str">
        <f t="shared" si="65"/>
        <v/>
      </c>
      <c r="HY83" s="61" t="str">
        <f t="shared" si="66"/>
        <v/>
      </c>
      <c r="HZ83" s="61" t="str">
        <f t="shared" si="67"/>
        <v/>
      </c>
    </row>
    <row r="84" ht="1.5" customHeight="1">
      <c r="A84" s="49" t="s">
        <v>1120</v>
      </c>
      <c r="B84" s="87" t="s">
        <v>1121</v>
      </c>
      <c r="C84" s="117" t="s">
        <v>1122</v>
      </c>
      <c r="D84" s="95" t="s">
        <v>210</v>
      </c>
      <c r="E84" s="96" t="str">
        <f t="shared" si="3"/>
        <v/>
      </c>
      <c r="F84" s="95" t="s">
        <v>209</v>
      </c>
      <c r="G84" s="95" t="s">
        <v>211</v>
      </c>
      <c r="H84" s="95">
        <v>2005.0</v>
      </c>
      <c r="I84" s="7"/>
      <c r="J84" s="95" t="s">
        <v>1123</v>
      </c>
      <c r="K84" s="97" t="str">
        <f t="shared" si="292"/>
        <v/>
      </c>
      <c r="L84" s="97" t="str">
        <f t="shared" si="293"/>
        <v/>
      </c>
      <c r="M84" s="97">
        <f t="shared" si="294"/>
        <v>1</v>
      </c>
      <c r="N84" s="97" t="str">
        <f t="shared" si="295"/>
        <v/>
      </c>
      <c r="O84" s="97" t="str">
        <f t="shared" si="296"/>
        <v/>
      </c>
      <c r="P84" s="97" t="str">
        <f t="shared" si="297"/>
        <v/>
      </c>
      <c r="Q84" s="97" t="b">
        <f t="shared" si="261"/>
        <v>1</v>
      </c>
      <c r="R84" s="97" t="b">
        <f t="shared" si="298"/>
        <v>1</v>
      </c>
      <c r="S84" s="95">
        <v>1.0</v>
      </c>
      <c r="T84" s="95">
        <v>1.0</v>
      </c>
      <c r="U84" s="95">
        <v>1.0</v>
      </c>
      <c r="V84" s="97" t="b">
        <f t="shared" si="299"/>
        <v>1</v>
      </c>
      <c r="W84" s="95">
        <v>0.0</v>
      </c>
      <c r="X84" s="95">
        <v>1.0</v>
      </c>
      <c r="Y84" s="95">
        <v>1.0</v>
      </c>
      <c r="Z84" s="142" t="s">
        <v>1124</v>
      </c>
      <c r="AA84" s="97" t="str">
        <f t="shared" si="300"/>
        <v/>
      </c>
      <c r="AB84" s="97" t="str">
        <f t="shared" si="301"/>
        <v/>
      </c>
      <c r="AC84" s="98" t="s">
        <v>1125</v>
      </c>
      <c r="AD84" s="95" t="s">
        <v>464</v>
      </c>
      <c r="AE84" s="7"/>
      <c r="AF84" s="97">
        <f>countif('Charts-SLR'!A:A,AD84)</f>
        <v>1</v>
      </c>
      <c r="AG84" s="95" t="s">
        <v>1126</v>
      </c>
      <c r="AH84" s="97">
        <f t="shared" si="302"/>
        <v>0</v>
      </c>
      <c r="AI84" s="95" t="s">
        <v>250</v>
      </c>
      <c r="AJ84" s="95">
        <v>24.0</v>
      </c>
      <c r="AK84" s="99">
        <f t="shared" si="303"/>
        <v>3.428571429</v>
      </c>
      <c r="AL84" s="97" t="str">
        <f t="shared" si="304"/>
        <v/>
      </c>
      <c r="AM84" s="97">
        <f t="shared" si="305"/>
        <v>24</v>
      </c>
      <c r="AN84" s="97" t="str">
        <f t="shared" si="306"/>
        <v/>
      </c>
      <c r="AO84" s="97" t="str">
        <f t="shared" si="307"/>
        <v/>
      </c>
      <c r="AP84" s="97" t="str">
        <f t="shared" si="308"/>
        <v/>
      </c>
      <c r="AQ84" s="97" t="str">
        <f t="shared" si="309"/>
        <v/>
      </c>
      <c r="AR84" s="100"/>
      <c r="AS84" s="100"/>
      <c r="AT84" s="100"/>
      <c r="AU84" s="100"/>
      <c r="AV84" s="100"/>
      <c r="AW84" s="100"/>
      <c r="AX84" s="100"/>
      <c r="AY84" s="100"/>
      <c r="AZ84" s="100"/>
      <c r="BA84" s="100"/>
      <c r="BB84" s="101" t="str">
        <f t="shared" si="106"/>
        <v>ERR</v>
      </c>
      <c r="BC84" s="102" t="s">
        <v>217</v>
      </c>
      <c r="BD84" s="102" t="s">
        <v>217</v>
      </c>
      <c r="BE84" s="102" t="s">
        <v>217</v>
      </c>
      <c r="BF84" s="100"/>
      <c r="BG84" s="100"/>
      <c r="BH84" s="100"/>
      <c r="BI84" s="103">
        <f t="shared" si="310"/>
        <v>3</v>
      </c>
      <c r="BJ84" s="102" t="s">
        <v>217</v>
      </c>
      <c r="BK84" s="100"/>
      <c r="BL84" s="100"/>
      <c r="BM84" s="100"/>
      <c r="BN84" s="102" t="s">
        <v>218</v>
      </c>
      <c r="BO84" s="102" t="s">
        <v>217</v>
      </c>
      <c r="BP84" s="100"/>
      <c r="BQ84" s="100"/>
      <c r="BR84" s="100"/>
      <c r="BS84" s="100"/>
      <c r="BT84" s="100"/>
      <c r="BU84" s="74"/>
      <c r="BV84" s="102" t="s">
        <v>217</v>
      </c>
      <c r="BW84" s="100"/>
      <c r="BX84" s="100"/>
      <c r="BY84" s="102" t="s">
        <v>217</v>
      </c>
      <c r="BZ84" s="100"/>
      <c r="CA84" s="102" t="s">
        <v>217</v>
      </c>
      <c r="CB84" s="100"/>
      <c r="CC84" s="100"/>
      <c r="CD84" s="100"/>
      <c r="CE84" s="100"/>
      <c r="CF84" s="100"/>
      <c r="CG84" s="100"/>
      <c r="CH84" s="102" t="s">
        <v>217</v>
      </c>
      <c r="CI84" s="103" t="str">
        <f t="shared" si="260"/>
        <v/>
      </c>
      <c r="CJ84" s="103">
        <f t="shared" si="311"/>
        <v>2</v>
      </c>
      <c r="CK84" s="100"/>
      <c r="CL84" s="100"/>
      <c r="CM84" s="102" t="s">
        <v>217</v>
      </c>
      <c r="CN84" s="100"/>
      <c r="CO84" s="100"/>
      <c r="CP84" s="102" t="s">
        <v>217</v>
      </c>
      <c r="CQ84" s="100"/>
      <c r="CR84" s="7"/>
      <c r="CS84" s="7"/>
      <c r="CT84" s="7"/>
      <c r="CU84" s="7"/>
      <c r="CV84" s="7"/>
      <c r="CW84" s="7"/>
      <c r="CX84" s="7"/>
      <c r="CY84" s="7"/>
      <c r="CZ84" s="7"/>
      <c r="DA84" s="7"/>
      <c r="DB84" s="7"/>
      <c r="DC84" s="7"/>
      <c r="DD84" s="7"/>
      <c r="DE84" s="95" t="s">
        <v>217</v>
      </c>
      <c r="DF84" s="7"/>
      <c r="DG84" s="97">
        <f t="shared" si="108"/>
        <v>1</v>
      </c>
      <c r="DH84" s="7"/>
      <c r="DI84" s="7"/>
      <c r="DJ84" s="7"/>
      <c r="DK84" s="95" t="s">
        <v>217</v>
      </c>
      <c r="DL84" s="7"/>
      <c r="DM84" s="97">
        <f t="shared" si="312"/>
        <v>1</v>
      </c>
      <c r="DN84" s="95" t="s">
        <v>217</v>
      </c>
      <c r="DO84" s="95" t="s">
        <v>217</v>
      </c>
      <c r="DP84" s="97" t="str">
        <f t="shared" si="109"/>
        <v>both</v>
      </c>
      <c r="DQ84" s="97" t="str">
        <f t="shared" si="110"/>
        <v/>
      </c>
      <c r="DR84" s="97" t="str">
        <f t="shared" si="111"/>
        <v/>
      </c>
      <c r="DS84" s="100"/>
      <c r="DT84" s="100"/>
      <c r="DU84" s="100"/>
      <c r="DV84" s="100"/>
      <c r="DW84" s="102" t="s">
        <v>217</v>
      </c>
      <c r="DX84" s="100"/>
      <c r="DY84" s="103">
        <f t="shared" si="29"/>
        <v>1</v>
      </c>
      <c r="DZ84" s="103" t="str">
        <f t="shared" ref="DZ84:DZ85" si="320">if(AND(DS84&lt;&gt;"",DW84="x"), "x", "")</f>
        <v/>
      </c>
      <c r="EA84" s="100"/>
      <c r="EB84" s="100"/>
      <c r="EC84" s="100"/>
      <c r="ED84" s="100"/>
      <c r="EE84" s="103">
        <f t="shared" si="30"/>
        <v>0</v>
      </c>
      <c r="EF84" s="103" t="str">
        <f t="shared" si="70"/>
        <v/>
      </c>
      <c r="EG84" s="97" t="str">
        <f t="shared" si="31"/>
        <v/>
      </c>
      <c r="EH84" s="7"/>
      <c r="EI84" s="7"/>
      <c r="EJ84" s="100"/>
      <c r="EK84" s="100"/>
      <c r="EL84" s="100"/>
      <c r="EM84" s="100"/>
      <c r="EN84" s="95" t="s">
        <v>217</v>
      </c>
      <c r="EO84" s="7"/>
      <c r="EP84" s="7"/>
      <c r="EQ84" s="7"/>
      <c r="ER84" s="7"/>
      <c r="ES84" s="7"/>
      <c r="ET84" s="100"/>
      <c r="EU84" s="100"/>
      <c r="EV84" s="100"/>
      <c r="EW84" s="100"/>
      <c r="EX84" s="100"/>
      <c r="EY84" s="7"/>
      <c r="EZ84" s="7"/>
      <c r="FA84" s="7"/>
      <c r="FB84" s="7"/>
      <c r="FC84" s="7"/>
      <c r="FD84" s="7"/>
      <c r="FE84" s="97" t="str">
        <f t="shared" si="32"/>
        <v/>
      </c>
      <c r="FF84" s="7"/>
      <c r="FG84" s="7"/>
      <c r="FH84" s="7"/>
      <c r="FI84" s="7"/>
      <c r="FJ84" s="7"/>
      <c r="FK84" s="7"/>
      <c r="FL84" s="7"/>
      <c r="FM84" s="7"/>
      <c r="FN84" s="7"/>
      <c r="FO84" s="7"/>
      <c r="FP84" s="95" t="s">
        <v>217</v>
      </c>
      <c r="FQ84" s="97" t="str">
        <f t="shared" si="316"/>
        <v/>
      </c>
      <c r="FR84" s="95" t="s">
        <v>217</v>
      </c>
      <c r="FS84" s="7"/>
      <c r="FT84" s="97" t="str">
        <f t="shared" si="317"/>
        <v/>
      </c>
      <c r="FU84" s="97" t="str">
        <f t="shared" si="318"/>
        <v/>
      </c>
      <c r="FV84" s="100"/>
      <c r="FW84" s="7"/>
      <c r="FX84" s="7"/>
      <c r="FY84" s="7"/>
      <c r="FZ84" s="95" t="s">
        <v>217</v>
      </c>
      <c r="GA84" s="7"/>
      <c r="GB84" s="7"/>
      <c r="GC84" s="7"/>
      <c r="GD84" s="95" t="s">
        <v>217</v>
      </c>
      <c r="GE84" s="7"/>
      <c r="GF84" s="7"/>
      <c r="GG84" s="7"/>
      <c r="GH84" s="7"/>
      <c r="GI84" s="7"/>
      <c r="GJ84" s="7"/>
      <c r="GK84" s="7"/>
      <c r="GL84" s="95" t="s">
        <v>1127</v>
      </c>
      <c r="GM84" s="7"/>
      <c r="GN84" s="95">
        <v>1.0</v>
      </c>
      <c r="GO84" s="118" t="s">
        <v>1128</v>
      </c>
      <c r="GP84" s="121"/>
      <c r="GQ84" s="95" t="s">
        <v>1129</v>
      </c>
      <c r="GR84" s="95" t="s">
        <v>217</v>
      </c>
      <c r="GS84" s="7"/>
      <c r="GT84" s="7"/>
      <c r="GU84" s="61" t="str">
        <f t="shared" si="36"/>
        <v/>
      </c>
      <c r="GV84" s="61" t="str">
        <f t="shared" si="37"/>
        <v/>
      </c>
      <c r="GW84" s="61" t="str">
        <f t="shared" si="38"/>
        <v/>
      </c>
      <c r="GX84" s="61" t="str">
        <f t="shared" si="39"/>
        <v/>
      </c>
      <c r="GY84" s="61" t="str">
        <f t="shared" si="40"/>
        <v/>
      </c>
      <c r="GZ84" s="61" t="str">
        <f t="shared" si="41"/>
        <v/>
      </c>
      <c r="HA84" s="61" t="str">
        <f t="shared" si="42"/>
        <v/>
      </c>
      <c r="HB84" s="61" t="str">
        <f t="shared" si="43"/>
        <v/>
      </c>
      <c r="HC84" s="61" t="str">
        <f t="shared" si="44"/>
        <v/>
      </c>
      <c r="HD84" s="61" t="str">
        <f t="shared" si="45"/>
        <v/>
      </c>
      <c r="HE84" s="61" t="str">
        <f t="shared" si="46"/>
        <v/>
      </c>
      <c r="HF84" s="61" t="str">
        <f t="shared" si="47"/>
        <v/>
      </c>
      <c r="HG84" s="61" t="str">
        <f t="shared" si="48"/>
        <v/>
      </c>
      <c r="HH84" s="61" t="str">
        <f t="shared" si="49"/>
        <v/>
      </c>
      <c r="HI84" s="61" t="str">
        <f t="shared" si="50"/>
        <v/>
      </c>
      <c r="HJ84" s="61" t="str">
        <f t="shared" si="51"/>
        <v/>
      </c>
      <c r="HK84" s="61" t="str">
        <f t="shared" si="52"/>
        <v/>
      </c>
      <c r="HL84" s="61" t="str">
        <f t="shared" si="53"/>
        <v/>
      </c>
      <c r="HM84" s="61" t="str">
        <f t="shared" si="54"/>
        <v/>
      </c>
      <c r="HN84" s="61" t="str">
        <f t="shared" si="55"/>
        <v/>
      </c>
      <c r="HO84" s="61" t="str">
        <f t="shared" si="56"/>
        <v/>
      </c>
      <c r="HP84" s="61" t="str">
        <f t="shared" si="57"/>
        <v/>
      </c>
      <c r="HQ84" s="61" t="str">
        <f t="shared" si="58"/>
        <v/>
      </c>
      <c r="HR84" s="61" t="str">
        <f t="shared" si="59"/>
        <v/>
      </c>
      <c r="HS84" s="61" t="str">
        <f t="shared" si="60"/>
        <v/>
      </c>
      <c r="HT84" s="61" t="str">
        <f t="shared" si="61"/>
        <v/>
      </c>
      <c r="HU84" s="61" t="str">
        <f t="shared" si="62"/>
        <v/>
      </c>
      <c r="HV84" s="61" t="str">
        <f t="shared" si="63"/>
        <v/>
      </c>
      <c r="HW84" s="61" t="str">
        <f t="shared" si="64"/>
        <v/>
      </c>
      <c r="HX84" s="61" t="str">
        <f t="shared" si="65"/>
        <v/>
      </c>
      <c r="HY84" s="61" t="str">
        <f t="shared" si="66"/>
        <v/>
      </c>
      <c r="HZ84" s="61" t="str">
        <f t="shared" si="67"/>
        <v/>
      </c>
    </row>
    <row r="85" ht="1.5" customHeight="1">
      <c r="A85" s="49" t="s">
        <v>1130</v>
      </c>
      <c r="B85" s="80" t="s">
        <v>1131</v>
      </c>
      <c r="C85" s="113" t="s">
        <v>1132</v>
      </c>
      <c r="D85" s="80" t="s">
        <v>245</v>
      </c>
      <c r="E85" s="107">
        <f t="shared" si="3"/>
        <v>2</v>
      </c>
      <c r="F85" s="80" t="s">
        <v>210</v>
      </c>
      <c r="G85" s="80" t="s">
        <v>211</v>
      </c>
      <c r="H85" s="80">
        <v>2006.0</v>
      </c>
      <c r="J85" s="80" t="s">
        <v>1133</v>
      </c>
      <c r="K85" s="61" t="str">
        <f t="shared" si="292"/>
        <v/>
      </c>
      <c r="L85" s="61" t="str">
        <f t="shared" si="293"/>
        <v/>
      </c>
      <c r="M85" s="61" t="str">
        <f t="shared" si="294"/>
        <v/>
      </c>
      <c r="N85" s="61" t="str">
        <f t="shared" si="295"/>
        <v/>
      </c>
      <c r="O85" s="61">
        <f t="shared" si="296"/>
        <v>1</v>
      </c>
      <c r="P85" s="61" t="str">
        <f t="shared" si="297"/>
        <v/>
      </c>
      <c r="Q85" s="61" t="b">
        <f t="shared" si="261"/>
        <v>1</v>
      </c>
      <c r="R85" s="61" t="b">
        <f t="shared" si="298"/>
        <v>1</v>
      </c>
      <c r="S85" s="80">
        <v>1.0</v>
      </c>
      <c r="T85" s="80">
        <v>1.0</v>
      </c>
      <c r="V85" s="61" t="b">
        <f t="shared" si="299"/>
        <v>1</v>
      </c>
      <c r="W85" s="80">
        <v>1.0</v>
      </c>
      <c r="X85" s="80">
        <v>1.0</v>
      </c>
      <c r="Z85" s="80" t="s">
        <v>1134</v>
      </c>
      <c r="AA85" s="61" t="str">
        <f t="shared" si="300"/>
        <v/>
      </c>
      <c r="AB85" s="61" t="str">
        <f t="shared" si="301"/>
        <v/>
      </c>
      <c r="AC85" s="114" t="s">
        <v>1135</v>
      </c>
      <c r="AD85" s="80" t="s">
        <v>1136</v>
      </c>
      <c r="AF85" s="61">
        <f>countif('Charts-SLR'!A:A,AD85)</f>
        <v>1</v>
      </c>
      <c r="AG85" s="80" t="s">
        <v>591</v>
      </c>
      <c r="AH85" s="61">
        <f t="shared" si="302"/>
        <v>0</v>
      </c>
      <c r="AI85" s="80" t="s">
        <v>250</v>
      </c>
      <c r="AJ85" s="80">
        <v>14.0</v>
      </c>
      <c r="AK85" s="108">
        <f t="shared" si="303"/>
        <v>2.333333333</v>
      </c>
      <c r="AL85" s="61" t="str">
        <f t="shared" si="304"/>
        <v/>
      </c>
      <c r="AM85" s="61">
        <f t="shared" si="305"/>
        <v>14</v>
      </c>
      <c r="AN85" s="61" t="str">
        <f t="shared" si="306"/>
        <v/>
      </c>
      <c r="AO85" s="61" t="str">
        <f t="shared" si="307"/>
        <v/>
      </c>
      <c r="AP85" s="61" t="str">
        <f t="shared" si="308"/>
        <v/>
      </c>
      <c r="AQ85" s="61" t="str">
        <f t="shared" si="309"/>
        <v>Hao:icwe06, </v>
      </c>
      <c r="AR85" s="74"/>
      <c r="AS85" s="74"/>
      <c r="AT85" s="74"/>
      <c r="AU85" s="74"/>
      <c r="AV85" s="73" t="s">
        <v>217</v>
      </c>
      <c r="AW85" s="74"/>
      <c r="AX85" s="74"/>
      <c r="AY85" s="74"/>
      <c r="AZ85" s="74"/>
      <c r="BA85" s="74"/>
      <c r="BB85" s="109" t="str">
        <f t="shared" si="106"/>
        <v/>
      </c>
      <c r="BC85" s="74"/>
      <c r="BD85" s="74"/>
      <c r="BE85" s="74"/>
      <c r="BF85" s="74"/>
      <c r="BG85" s="74"/>
      <c r="BH85" s="73" t="s">
        <v>217</v>
      </c>
      <c r="BI85" s="110">
        <f t="shared" si="310"/>
        <v>1</v>
      </c>
      <c r="BJ85" s="74"/>
      <c r="BK85" s="74"/>
      <c r="BL85" s="74"/>
      <c r="BM85" s="74"/>
      <c r="BN85" s="74"/>
      <c r="BO85" s="74"/>
      <c r="BP85" s="73" t="s">
        <v>217</v>
      </c>
      <c r="BQ85" s="74"/>
      <c r="BR85" s="74"/>
      <c r="BS85" s="74"/>
      <c r="BT85" s="74"/>
      <c r="BU85" s="74"/>
      <c r="BV85" s="73" t="s">
        <v>217</v>
      </c>
      <c r="BW85" s="73" t="s">
        <v>217</v>
      </c>
      <c r="BX85" s="74"/>
      <c r="BY85" s="73" t="s">
        <v>217</v>
      </c>
      <c r="BZ85" s="74"/>
      <c r="CA85" s="74"/>
      <c r="CB85" s="74"/>
      <c r="CC85" s="74"/>
      <c r="CD85" s="74"/>
      <c r="CE85" s="73" t="s">
        <v>217</v>
      </c>
      <c r="CF85" s="73" t="s">
        <v>1137</v>
      </c>
      <c r="CG85" s="74"/>
      <c r="CH85" s="73" t="s">
        <v>217</v>
      </c>
      <c r="CI85" s="111" t="str">
        <f t="shared" si="260"/>
        <v/>
      </c>
      <c r="CJ85" s="110">
        <f t="shared" si="311"/>
        <v>2</v>
      </c>
      <c r="CK85" s="74"/>
      <c r="CL85" s="74"/>
      <c r="CM85" s="73" t="s">
        <v>217</v>
      </c>
      <c r="CN85" s="74"/>
      <c r="CO85" s="74"/>
      <c r="CP85" s="73" t="s">
        <v>217</v>
      </c>
      <c r="CQ85" s="74"/>
      <c r="CR85" s="80" t="s">
        <v>217</v>
      </c>
      <c r="DF85" s="80" t="s">
        <v>217</v>
      </c>
      <c r="DG85" s="61">
        <f t="shared" si="108"/>
        <v>1</v>
      </c>
      <c r="DI85" s="80" t="s">
        <v>217</v>
      </c>
      <c r="DM85" s="61">
        <f t="shared" si="312"/>
        <v>1</v>
      </c>
      <c r="DN85" s="80" t="s">
        <v>217</v>
      </c>
      <c r="DP85" s="61" t="str">
        <f t="shared" si="109"/>
        <v/>
      </c>
      <c r="DQ85" s="61" t="str">
        <f t="shared" si="110"/>
        <v>FM</v>
      </c>
      <c r="DR85" s="61" t="str">
        <f t="shared" si="111"/>
        <v/>
      </c>
      <c r="DS85" s="74"/>
      <c r="DT85" s="74"/>
      <c r="DU85" s="74"/>
      <c r="DV85" s="74"/>
      <c r="DW85" s="74"/>
      <c r="DX85" s="74"/>
      <c r="DY85" s="110">
        <f t="shared" si="29"/>
        <v>0</v>
      </c>
      <c r="DZ85" s="110" t="str">
        <f t="shared" si="320"/>
        <v/>
      </c>
      <c r="EA85" s="74"/>
      <c r="EB85" s="74"/>
      <c r="EC85" s="74"/>
      <c r="ED85" s="74"/>
      <c r="EE85" s="110">
        <f t="shared" si="30"/>
        <v>0</v>
      </c>
      <c r="EF85" s="110" t="str">
        <f t="shared" si="70"/>
        <v/>
      </c>
      <c r="EG85" s="61" t="str">
        <f t="shared" si="31"/>
        <v/>
      </c>
      <c r="EH85" s="80" t="s">
        <v>1138</v>
      </c>
      <c r="EI85" s="80" t="s">
        <v>1139</v>
      </c>
      <c r="EJ85" s="74"/>
      <c r="EK85" s="74"/>
      <c r="EL85" s="74"/>
      <c r="EM85" s="73" t="s">
        <v>217</v>
      </c>
      <c r="ES85" s="80" t="s">
        <v>1140</v>
      </c>
      <c r="ET85" s="73">
        <v>0.0</v>
      </c>
      <c r="EU85" s="74"/>
      <c r="EV85" s="74"/>
      <c r="EW85" s="74"/>
      <c r="EX85" s="74"/>
      <c r="EZ85" s="80" t="s">
        <v>1141</v>
      </c>
      <c r="FE85" s="97">
        <f t="shared" si="32"/>
        <v>0</v>
      </c>
      <c r="FF85" s="80">
        <v>1.0</v>
      </c>
      <c r="FG85" s="80">
        <v>1.0</v>
      </c>
      <c r="FH85" s="80">
        <v>0.0</v>
      </c>
      <c r="FI85" s="61">
        <f t="shared" ref="FI85:FI87" si="321">sum(FF85:FH85)</f>
        <v>2</v>
      </c>
      <c r="FJ85" s="80">
        <v>1.0</v>
      </c>
      <c r="FK85" s="80">
        <v>0.0</v>
      </c>
      <c r="FL85" s="80">
        <v>0.0</v>
      </c>
      <c r="FM85" s="61" t="str">
        <f t="shared" ref="FM85:FM87" si="322">if(GP85&lt;1000, "0", if(GP85&lt;10000, "0.5","1"))</f>
        <v>0</v>
      </c>
      <c r="FN85" s="61">
        <f t="shared" ref="FN85:FN86" si="323">sum(FJ85:FM85)</f>
        <v>1</v>
      </c>
      <c r="FO85" s="80" t="s">
        <v>217</v>
      </c>
      <c r="FQ85" s="61" t="str">
        <f t="shared" si="316"/>
        <v/>
      </c>
      <c r="FR85" s="80" t="s">
        <v>217</v>
      </c>
      <c r="FT85" s="61" t="str">
        <f t="shared" si="317"/>
        <v/>
      </c>
      <c r="FU85" s="61" t="str">
        <f t="shared" si="318"/>
        <v/>
      </c>
      <c r="FV85" s="74"/>
      <c r="FW85" s="80" t="s">
        <v>217</v>
      </c>
      <c r="GJ85" s="80" t="s">
        <v>217</v>
      </c>
      <c r="GN85" s="80">
        <v>1.0</v>
      </c>
      <c r="GO85" s="80" t="s">
        <v>1142</v>
      </c>
      <c r="GP85" s="116"/>
      <c r="GU85" s="61" t="str">
        <f t="shared" si="36"/>
        <v/>
      </c>
      <c r="GV85" s="61" t="str">
        <f t="shared" si="37"/>
        <v/>
      </c>
      <c r="GW85" s="61" t="str">
        <f t="shared" si="38"/>
        <v/>
      </c>
      <c r="GX85" s="61" t="str">
        <f t="shared" si="39"/>
        <v/>
      </c>
      <c r="GY85" s="61" t="str">
        <f t="shared" si="40"/>
        <v/>
      </c>
      <c r="GZ85" s="61" t="str">
        <f t="shared" si="41"/>
        <v/>
      </c>
      <c r="HA85" s="61" t="str">
        <f t="shared" si="42"/>
        <v/>
      </c>
      <c r="HB85" s="61" t="str">
        <f t="shared" si="43"/>
        <v/>
      </c>
      <c r="HC85" s="61" t="str">
        <f t="shared" si="44"/>
        <v/>
      </c>
      <c r="HD85" s="61" t="str">
        <f t="shared" si="45"/>
        <v/>
      </c>
      <c r="HE85" s="61" t="str">
        <f t="shared" si="46"/>
        <v/>
      </c>
      <c r="HF85" s="61" t="str">
        <f t="shared" si="47"/>
        <v/>
      </c>
      <c r="HG85" s="61" t="str">
        <f t="shared" si="48"/>
        <v/>
      </c>
      <c r="HH85" s="61" t="str">
        <f t="shared" si="49"/>
        <v/>
      </c>
      <c r="HI85" s="61" t="str">
        <f t="shared" si="50"/>
        <v/>
      </c>
      <c r="HJ85" s="61" t="str">
        <f t="shared" si="51"/>
        <v/>
      </c>
      <c r="HK85" s="61" t="str">
        <f t="shared" si="52"/>
        <v/>
      </c>
      <c r="HL85" s="61" t="str">
        <f t="shared" si="53"/>
        <v/>
      </c>
      <c r="HM85" s="61" t="str">
        <f t="shared" si="54"/>
        <v/>
      </c>
      <c r="HN85" s="61" t="str">
        <f t="shared" si="55"/>
        <v/>
      </c>
      <c r="HO85" s="61" t="str">
        <f t="shared" si="56"/>
        <v/>
      </c>
      <c r="HP85" s="61" t="str">
        <f t="shared" si="57"/>
        <v/>
      </c>
      <c r="HQ85" s="61" t="str">
        <f t="shared" si="58"/>
        <v/>
      </c>
      <c r="HR85" s="61" t="str">
        <f t="shared" si="59"/>
        <v/>
      </c>
      <c r="HS85" s="61" t="str">
        <f t="shared" si="60"/>
        <v/>
      </c>
      <c r="HT85" s="61" t="str">
        <f t="shared" si="61"/>
        <v/>
      </c>
      <c r="HU85" s="61" t="str">
        <f t="shared" si="62"/>
        <v/>
      </c>
      <c r="HV85" s="61" t="str">
        <f t="shared" si="63"/>
        <v/>
      </c>
      <c r="HW85" s="61" t="str">
        <f t="shared" si="64"/>
        <v/>
      </c>
      <c r="HX85" s="61" t="str">
        <f t="shared" si="65"/>
        <v/>
      </c>
      <c r="HY85" s="61" t="str">
        <f t="shared" si="66"/>
        <v/>
      </c>
      <c r="HZ85" s="61" t="str">
        <f t="shared" si="67"/>
        <v/>
      </c>
    </row>
    <row r="86" ht="15.0" customHeight="1">
      <c r="A86" s="49" t="s">
        <v>1143</v>
      </c>
      <c r="B86" s="80" t="s">
        <v>1144</v>
      </c>
      <c r="C86" s="113" t="s">
        <v>1145</v>
      </c>
      <c r="D86" s="80" t="s">
        <v>301</v>
      </c>
      <c r="E86" s="107">
        <f t="shared" si="3"/>
        <v>2</v>
      </c>
      <c r="F86" s="80" t="s">
        <v>210</v>
      </c>
      <c r="G86" s="80" t="s">
        <v>217</v>
      </c>
      <c r="H86" s="80">
        <v>2011.0</v>
      </c>
      <c r="J86" s="80" t="s">
        <v>1146</v>
      </c>
      <c r="Q86" s="61" t="b">
        <f t="shared" si="261"/>
        <v>1</v>
      </c>
      <c r="R86" s="61" t="b">
        <f>if(AVERAGE(S86:U86)&gt;=5, TRUE, FALSE)</f>
        <v>1</v>
      </c>
      <c r="S86" s="80">
        <v>9.0</v>
      </c>
      <c r="T86" s="80">
        <v>7.0</v>
      </c>
      <c r="U86" s="80">
        <v>8.0</v>
      </c>
      <c r="V86" s="61" t="b">
        <f>if(AVERAGE(W86:Y86)&gt;=5, TRUE, FALSE)</f>
        <v>1</v>
      </c>
      <c r="W86" s="80">
        <v>9.0</v>
      </c>
      <c r="X86" s="80">
        <v>7.0</v>
      </c>
      <c r="Y86" s="80">
        <v>8.0</v>
      </c>
      <c r="Z86" s="80" t="s">
        <v>1147</v>
      </c>
      <c r="AC86" s="127"/>
      <c r="AR86" s="74"/>
      <c r="AS86" s="74"/>
      <c r="AT86" s="74"/>
      <c r="AU86" s="74"/>
      <c r="AV86" s="73" t="s">
        <v>217</v>
      </c>
      <c r="AW86" s="74"/>
      <c r="AX86" s="74"/>
      <c r="AY86" s="74"/>
      <c r="AZ86" s="74"/>
      <c r="BA86" s="74"/>
      <c r="BB86" s="109" t="str">
        <f t="shared" si="106"/>
        <v/>
      </c>
      <c r="BC86" s="73" t="s">
        <v>217</v>
      </c>
      <c r="BD86" s="74"/>
      <c r="BE86" s="73" t="s">
        <v>217</v>
      </c>
      <c r="BF86" s="74"/>
      <c r="BG86" s="74"/>
      <c r="BH86" s="74"/>
      <c r="BI86" s="74"/>
      <c r="BJ86" s="74"/>
      <c r="BK86" s="74"/>
      <c r="BL86" s="74"/>
      <c r="BM86" s="73" t="s">
        <v>1148</v>
      </c>
      <c r="BN86" s="73" t="s">
        <v>218</v>
      </c>
      <c r="BO86" s="74"/>
      <c r="BP86" s="73" t="s">
        <v>217</v>
      </c>
      <c r="BQ86" s="74"/>
      <c r="BR86" s="74"/>
      <c r="BS86" s="74"/>
      <c r="BT86" s="74"/>
      <c r="BU86" s="74"/>
      <c r="BV86" s="73" t="s">
        <v>217</v>
      </c>
      <c r="BW86" s="73" t="s">
        <v>217</v>
      </c>
      <c r="BX86" s="74"/>
      <c r="BY86" s="73" t="s">
        <v>217</v>
      </c>
      <c r="BZ86" s="74"/>
      <c r="CA86" s="73" t="s">
        <v>217</v>
      </c>
      <c r="CB86" s="74"/>
      <c r="CC86" s="74"/>
      <c r="CD86" s="74"/>
      <c r="CE86" s="74"/>
      <c r="CF86" s="74"/>
      <c r="CG86" s="74"/>
      <c r="CH86" s="73" t="s">
        <v>217</v>
      </c>
      <c r="CI86" s="110" t="str">
        <f t="shared" si="260"/>
        <v/>
      </c>
      <c r="CJ86" s="74"/>
      <c r="CK86" s="73" t="s">
        <v>217</v>
      </c>
      <c r="CL86" s="74"/>
      <c r="CM86" s="73" t="s">
        <v>217</v>
      </c>
      <c r="CN86" s="74"/>
      <c r="CO86" s="73" t="s">
        <v>217</v>
      </c>
      <c r="CP86" s="74"/>
      <c r="CQ86" s="74"/>
      <c r="CU86" s="80" t="s">
        <v>217</v>
      </c>
      <c r="CX86" s="80" t="s">
        <v>217</v>
      </c>
      <c r="DD86" s="80" t="s">
        <v>217</v>
      </c>
      <c r="DE86" s="80" t="s">
        <v>217</v>
      </c>
      <c r="DG86" s="61">
        <f t="shared" si="108"/>
        <v>3</v>
      </c>
      <c r="DH86" s="80" t="s">
        <v>217</v>
      </c>
      <c r="DO86" s="80" t="s">
        <v>217</v>
      </c>
      <c r="DP86" s="61" t="str">
        <f t="shared" si="109"/>
        <v/>
      </c>
      <c r="DQ86" s="61" t="str">
        <f t="shared" si="110"/>
        <v/>
      </c>
      <c r="DR86" s="61" t="str">
        <f t="shared" si="111"/>
        <v>FA</v>
      </c>
      <c r="DT86" s="74"/>
      <c r="DU86" s="73" t="s">
        <v>466</v>
      </c>
      <c r="DV86" s="74"/>
      <c r="DW86" s="73" t="s">
        <v>217</v>
      </c>
      <c r="DX86" s="74"/>
      <c r="DY86" s="110">
        <f t="shared" si="29"/>
        <v>2</v>
      </c>
      <c r="DZ86" s="110" t="str">
        <f>if(AND(DU86&lt;&gt;"",DW86="x"), "x", "")</f>
        <v>x</v>
      </c>
      <c r="EA86" s="74"/>
      <c r="EB86" s="73" t="s">
        <v>217</v>
      </c>
      <c r="EC86" s="74"/>
      <c r="ED86" s="74"/>
      <c r="EE86" s="110">
        <f t="shared" si="30"/>
        <v>1</v>
      </c>
      <c r="EF86" s="110" t="str">
        <f t="shared" si="70"/>
        <v>x</v>
      </c>
      <c r="EG86" s="61" t="str">
        <f t="shared" si="31"/>
        <v/>
      </c>
      <c r="EI86" s="80" t="s">
        <v>1149</v>
      </c>
      <c r="EJ86" s="74"/>
      <c r="EK86" s="74"/>
      <c r="EL86" s="74"/>
      <c r="EM86" s="74"/>
      <c r="EN86" s="80" t="s">
        <v>217</v>
      </c>
      <c r="ES86" s="80" t="s">
        <v>1150</v>
      </c>
      <c r="ET86" s="73">
        <v>2.0</v>
      </c>
      <c r="EU86" s="74"/>
      <c r="EV86" s="74"/>
      <c r="EW86" s="74"/>
      <c r="EX86" s="74"/>
      <c r="EZ86" s="80" t="s">
        <v>1151</v>
      </c>
      <c r="FE86" s="97">
        <f t="shared" si="32"/>
        <v>0</v>
      </c>
      <c r="FF86" s="80">
        <v>0.5</v>
      </c>
      <c r="FG86" s="80">
        <v>0.0</v>
      </c>
      <c r="FH86" s="80">
        <v>0.0</v>
      </c>
      <c r="FI86" s="61">
        <f t="shared" si="321"/>
        <v>0.5</v>
      </c>
      <c r="FJ86" s="80">
        <v>0.0</v>
      </c>
      <c r="FK86" s="80">
        <v>0.0</v>
      </c>
      <c r="FL86" s="80" t="s">
        <v>189</v>
      </c>
      <c r="FM86" s="61" t="str">
        <f t="shared" si="322"/>
        <v>0</v>
      </c>
      <c r="FN86" s="61">
        <f t="shared" si="323"/>
        <v>0</v>
      </c>
      <c r="FP86" s="80" t="s">
        <v>217</v>
      </c>
      <c r="FR86" s="80" t="s">
        <v>217</v>
      </c>
      <c r="FV86" s="73" t="s">
        <v>217</v>
      </c>
      <c r="FZ86" s="80" t="s">
        <v>217</v>
      </c>
      <c r="GD86" s="80" t="s">
        <v>217</v>
      </c>
      <c r="GN86" s="80">
        <v>1.0</v>
      </c>
      <c r="GO86" s="80" t="s">
        <v>1152</v>
      </c>
      <c r="GS86" s="80" t="s">
        <v>217</v>
      </c>
      <c r="GU86" s="61" t="str">
        <f t="shared" si="36"/>
        <v/>
      </c>
      <c r="GV86" s="61" t="str">
        <f t="shared" si="37"/>
        <v/>
      </c>
      <c r="GW86" s="61" t="str">
        <f t="shared" si="38"/>
        <v/>
      </c>
      <c r="GX86" s="61" t="str">
        <f t="shared" si="39"/>
        <v/>
      </c>
      <c r="GY86" s="61" t="str">
        <f t="shared" si="40"/>
        <v/>
      </c>
      <c r="GZ86" s="61" t="str">
        <f t="shared" si="41"/>
        <v/>
      </c>
      <c r="HA86" s="61" t="str">
        <f t="shared" si="42"/>
        <v/>
      </c>
      <c r="HB86" s="61" t="str">
        <f t="shared" si="43"/>
        <v/>
      </c>
      <c r="HC86" s="61" t="str">
        <f t="shared" si="44"/>
        <v/>
      </c>
      <c r="HD86" s="61" t="str">
        <f t="shared" si="45"/>
        <v/>
      </c>
      <c r="HE86" s="61" t="str">
        <f t="shared" si="46"/>
        <v/>
      </c>
      <c r="HF86" s="61" t="str">
        <f t="shared" si="47"/>
        <v/>
      </c>
      <c r="HG86" s="61" t="str">
        <f t="shared" si="48"/>
        <v/>
      </c>
      <c r="HH86" s="61" t="str">
        <f t="shared" si="49"/>
        <v/>
      </c>
      <c r="HI86" s="61" t="str">
        <f t="shared" si="50"/>
        <v/>
      </c>
      <c r="HJ86" s="61" t="str">
        <f t="shared" si="51"/>
        <v/>
      </c>
      <c r="HK86" s="61" t="str">
        <f t="shared" si="52"/>
        <v/>
      </c>
      <c r="HL86" s="61" t="str">
        <f t="shared" si="53"/>
        <v/>
      </c>
      <c r="HM86" s="61" t="str">
        <f t="shared" si="54"/>
        <v/>
      </c>
      <c r="HN86" s="61" t="str">
        <f t="shared" si="55"/>
        <v/>
      </c>
      <c r="HO86" s="61" t="str">
        <f t="shared" si="56"/>
        <v/>
      </c>
      <c r="HP86" s="61" t="str">
        <f t="shared" si="57"/>
        <v/>
      </c>
      <c r="HQ86" s="61" t="str">
        <f t="shared" si="58"/>
        <v/>
      </c>
      <c r="HR86" s="61" t="str">
        <f t="shared" si="59"/>
        <v/>
      </c>
      <c r="HS86" s="61" t="str">
        <f t="shared" si="60"/>
        <v/>
      </c>
      <c r="HT86" s="61" t="str">
        <f t="shared" si="61"/>
        <v/>
      </c>
      <c r="HU86" s="61" t="str">
        <f t="shared" si="62"/>
        <v/>
      </c>
      <c r="HV86" s="61" t="str">
        <f t="shared" si="63"/>
        <v/>
      </c>
      <c r="HW86" s="61" t="str">
        <f t="shared" si="64"/>
        <v/>
      </c>
      <c r="HX86" s="61" t="str">
        <f t="shared" si="65"/>
        <v/>
      </c>
      <c r="HY86" s="61" t="str">
        <f t="shared" si="66"/>
        <v/>
      </c>
      <c r="HZ86" s="61" t="str">
        <f t="shared" si="67"/>
        <v/>
      </c>
    </row>
    <row r="87" ht="1.5" customHeight="1">
      <c r="A87" s="49" t="s">
        <v>1153</v>
      </c>
      <c r="B87" s="87" t="s">
        <v>1154</v>
      </c>
      <c r="C87" s="113" t="s">
        <v>1155</v>
      </c>
      <c r="D87" s="80" t="s">
        <v>210</v>
      </c>
      <c r="E87" s="107">
        <f t="shared" si="3"/>
        <v>3</v>
      </c>
      <c r="F87" s="80" t="s">
        <v>209</v>
      </c>
      <c r="G87" s="80" t="s">
        <v>211</v>
      </c>
      <c r="H87" s="80">
        <v>2011.0</v>
      </c>
      <c r="J87" s="80" t="s">
        <v>1156</v>
      </c>
      <c r="K87" s="61" t="str">
        <f t="shared" ref="K87:K89" si="324">if(AND(D87="Aysu", F87="Vahid"), 1, "")</f>
        <v/>
      </c>
      <c r="L87" s="61" t="str">
        <f t="shared" ref="L87:L89" si="325">if(AND(D87="Aysu", F87="Ali"), 1, "")</f>
        <v/>
      </c>
      <c r="M87" s="61">
        <f t="shared" ref="M87:M89" si="326">if(AND(D87="Vahid", F87="Aysu"), 1, "")</f>
        <v>1</v>
      </c>
      <c r="N87" s="61" t="str">
        <f t="shared" ref="N87:N89" si="327">if(AND(D87="Vahid", F87="Ali"), 1, "")</f>
        <v/>
      </c>
      <c r="O87" s="61" t="str">
        <f t="shared" ref="O87:O89" si="328">if(AND(D87="Ali", F87="Vahid"), 1, "")</f>
        <v/>
      </c>
      <c r="P87" s="61" t="str">
        <f t="shared" ref="P87:P89" si="329">if(AND(D87="Ali", F87="Aysu"), 1, "")</f>
        <v/>
      </c>
      <c r="Q87" s="61" t="b">
        <f t="shared" si="261"/>
        <v>1</v>
      </c>
      <c r="R87" s="61" t="b">
        <f t="shared" ref="R87:R89" si="330">SUM(S87:U87)&gt;=2</f>
        <v>1</v>
      </c>
      <c r="S87" s="80">
        <v>1.0</v>
      </c>
      <c r="T87" s="80">
        <v>1.0</v>
      </c>
      <c r="U87" s="80">
        <v>1.0</v>
      </c>
      <c r="V87" s="61" t="b">
        <f t="shared" ref="V87:V89" si="331">SUM(W87:Y87)&gt;=2</f>
        <v>1</v>
      </c>
      <c r="W87" s="80">
        <v>1.0</v>
      </c>
      <c r="X87" s="80">
        <v>1.0</v>
      </c>
      <c r="Y87" s="80">
        <v>1.0</v>
      </c>
      <c r="Z87" s="80" t="s">
        <v>1157</v>
      </c>
      <c r="AA87" s="61" t="str">
        <f t="shared" ref="AA87:AA89" si="332">iferror(if(find("Pollock", AC87)&gt;0,concat(J87,", "), ""))</f>
        <v/>
      </c>
      <c r="AB87" s="61" t="str">
        <f t="shared" ref="AB87:AB89" si="333">if(GI87="x",concat(J87,", "), "")</f>
        <v/>
      </c>
      <c r="AC87" s="114" t="s">
        <v>1158</v>
      </c>
      <c r="AD87" s="80" t="s">
        <v>214</v>
      </c>
      <c r="AF87" s="61">
        <f>countif('Charts-SLR'!A:A,AD87)</f>
        <v>1</v>
      </c>
      <c r="AG87" s="80" t="s">
        <v>1159</v>
      </c>
      <c r="AH87" s="61">
        <f t="shared" ref="AH87:AH89" si="334">countif({},AG87)</f>
        <v>0</v>
      </c>
      <c r="AI87" s="80" t="s">
        <v>231</v>
      </c>
      <c r="AJ87" s="80">
        <v>4.0</v>
      </c>
      <c r="AK87" s="108">
        <f t="shared" ref="AK87:AK89" si="335">AJ87/(2012-H87)</f>
        <v>4</v>
      </c>
      <c r="AL87" s="61">
        <f t="shared" ref="AL87:AL89" si="336">if(AI87="J",AJ87,"")</f>
        <v>4</v>
      </c>
      <c r="AM87" s="61" t="str">
        <f t="shared" ref="AM87:AM89" si="337">if(AI87="C",AJ87,"")</f>
        <v/>
      </c>
      <c r="AN87" s="61" t="str">
        <f t="shared" ref="AN87:AN89" si="338">if(AI87="W", AJ87,"")</f>
        <v/>
      </c>
      <c r="AO87" s="61" t="str">
        <f t="shared" ref="AO87:AO89" si="339">if(AI87="M",AJ87,"")</f>
        <v/>
      </c>
      <c r="AP87" s="61" t="str">
        <f t="shared" ref="AP87:AP89" si="340">if(AI87="S",AJ87,"")</f>
        <v/>
      </c>
      <c r="AQ87" s="61" t="str">
        <f t="shared" ref="AQ87:AQ89" si="341">if(BH87="x",concat(J87,", "), "")</f>
        <v/>
      </c>
      <c r="AR87" s="74"/>
      <c r="AS87" s="74"/>
      <c r="AT87" s="74"/>
      <c r="AU87" s="73" t="s">
        <v>217</v>
      </c>
      <c r="AV87" s="74"/>
      <c r="AW87" s="74"/>
      <c r="AX87" s="74"/>
      <c r="AY87" s="74"/>
      <c r="AZ87" s="74"/>
      <c r="BA87" s="74"/>
      <c r="BB87" s="109" t="str">
        <f t="shared" si="106"/>
        <v/>
      </c>
      <c r="BC87" s="73" t="s">
        <v>217</v>
      </c>
      <c r="BD87" s="73" t="s">
        <v>217</v>
      </c>
      <c r="BE87" s="73" t="s">
        <v>217</v>
      </c>
      <c r="BF87" s="73" t="s">
        <v>217</v>
      </c>
      <c r="BG87" s="74"/>
      <c r="BH87" s="74"/>
      <c r="BI87" s="110">
        <f t="shared" ref="BI87:BI89" si="342">COUNTA(BC87:BH87)</f>
        <v>4</v>
      </c>
      <c r="BJ87" s="73" t="s">
        <v>217</v>
      </c>
      <c r="BK87" s="74"/>
      <c r="BL87" s="74"/>
      <c r="BM87" s="74"/>
      <c r="BN87" s="73" t="s">
        <v>218</v>
      </c>
      <c r="BO87" s="74"/>
      <c r="BP87" s="74"/>
      <c r="BQ87" s="73" t="s">
        <v>217</v>
      </c>
      <c r="BR87" s="74"/>
      <c r="BS87" s="74"/>
      <c r="BT87" s="74"/>
      <c r="BU87" s="74"/>
      <c r="BV87" s="73" t="s">
        <v>217</v>
      </c>
      <c r="BW87" s="74"/>
      <c r="BX87" s="73" t="s">
        <v>217</v>
      </c>
      <c r="BY87" s="73" t="s">
        <v>217</v>
      </c>
      <c r="BZ87" s="74"/>
      <c r="CA87" s="74"/>
      <c r="CB87" s="74"/>
      <c r="CC87" s="74"/>
      <c r="CD87" s="74"/>
      <c r="CE87" s="74"/>
      <c r="CF87" s="74"/>
      <c r="CG87" s="73" t="s">
        <v>217</v>
      </c>
      <c r="CH87" s="74"/>
      <c r="CI87" s="111" t="str">
        <f t="shared" si="260"/>
        <v/>
      </c>
      <c r="CJ87" s="110">
        <f t="shared" ref="CJ87:CJ89" si="343">if(CG87="x", 1, if(CH87="x", 2, 3))</f>
        <v>1</v>
      </c>
      <c r="CK87" s="73" t="s">
        <v>217</v>
      </c>
      <c r="CL87" s="74"/>
      <c r="CM87" s="74"/>
      <c r="CN87" s="74"/>
      <c r="CO87" s="74"/>
      <c r="CP87" s="74"/>
      <c r="CQ87" s="74"/>
      <c r="CS87" s="80" t="s">
        <v>217</v>
      </c>
      <c r="CU87" s="80" t="s">
        <v>187</v>
      </c>
      <c r="DC87" s="80" t="s">
        <v>217</v>
      </c>
      <c r="DG87" s="61">
        <f t="shared" si="108"/>
        <v>1</v>
      </c>
      <c r="DI87" s="80" t="s">
        <v>217</v>
      </c>
      <c r="DM87" s="61">
        <f t="shared" ref="DM87:DM89" si="344">counta(DH87:DL87)</f>
        <v>1</v>
      </c>
      <c r="DN87" s="80" t="s">
        <v>217</v>
      </c>
      <c r="DO87" s="80" t="s">
        <v>217</v>
      </c>
      <c r="DP87" s="61" t="str">
        <f t="shared" si="109"/>
        <v>both</v>
      </c>
      <c r="DQ87" s="61" t="str">
        <f t="shared" si="110"/>
        <v/>
      </c>
      <c r="DR87" s="61" t="str">
        <f t="shared" si="111"/>
        <v/>
      </c>
      <c r="DS87" s="74"/>
      <c r="DT87" s="73" t="s">
        <v>269</v>
      </c>
      <c r="DU87" s="74"/>
      <c r="DV87" s="74"/>
      <c r="DW87" s="73" t="s">
        <v>217</v>
      </c>
      <c r="DX87" s="74"/>
      <c r="DY87" s="110">
        <f t="shared" si="29"/>
        <v>2</v>
      </c>
      <c r="DZ87" s="110" t="str">
        <f t="shared" ref="DZ87:DZ97" si="345">if(AND(DS87&lt;&gt;"",DW87="x"), "x", "")</f>
        <v/>
      </c>
      <c r="EA87" s="73" t="s">
        <v>217</v>
      </c>
      <c r="EB87" s="73" t="s">
        <v>217</v>
      </c>
      <c r="EC87" s="74"/>
      <c r="ED87" s="74"/>
      <c r="EE87" s="110">
        <f t="shared" si="30"/>
        <v>2</v>
      </c>
      <c r="EF87" s="110" t="str">
        <f t="shared" si="70"/>
        <v>x</v>
      </c>
      <c r="EG87" s="61" t="str">
        <f t="shared" si="31"/>
        <v/>
      </c>
      <c r="EI87" s="80" t="s">
        <v>1160</v>
      </c>
      <c r="EJ87" s="74"/>
      <c r="EK87" s="74"/>
      <c r="EL87" s="74"/>
      <c r="EM87" s="74"/>
      <c r="EN87" s="80" t="s">
        <v>217</v>
      </c>
      <c r="ES87" s="80" t="s">
        <v>1161</v>
      </c>
      <c r="ET87" s="73">
        <v>3.0</v>
      </c>
      <c r="EU87" s="74"/>
      <c r="EV87" s="74"/>
      <c r="EW87" s="74"/>
      <c r="EX87" s="74"/>
      <c r="EZ87" s="80" t="s">
        <v>1162</v>
      </c>
      <c r="FA87" s="80" t="s">
        <v>1163</v>
      </c>
      <c r="FD87" s="80" t="s">
        <v>256</v>
      </c>
      <c r="FE87" s="97">
        <f t="shared" si="32"/>
        <v>2</v>
      </c>
      <c r="FF87" s="80">
        <v>1.0</v>
      </c>
      <c r="FG87" s="80">
        <v>1.0</v>
      </c>
      <c r="FH87" s="80">
        <v>1.0</v>
      </c>
      <c r="FI87" s="61">
        <f t="shared" si="321"/>
        <v>3</v>
      </c>
      <c r="FJ87" s="80">
        <v>1.0</v>
      </c>
      <c r="FK87" s="80">
        <v>0.0</v>
      </c>
      <c r="FL87" s="80">
        <v>0.0</v>
      </c>
      <c r="FM87" s="61" t="str">
        <f t="shared" si="322"/>
        <v>1</v>
      </c>
      <c r="FN87" s="61">
        <f>SUM.LEGACY(FJ87:FM87)</f>
        <v>2</v>
      </c>
      <c r="FP87" s="80" t="s">
        <v>217</v>
      </c>
      <c r="FQ87" s="61" t="str">
        <f t="shared" ref="FQ87:FQ89" si="346">if(and(FO87="",FP87=""), "both", "")</f>
        <v/>
      </c>
      <c r="FS87" s="80" t="s">
        <v>217</v>
      </c>
      <c r="FT87" s="61" t="str">
        <f t="shared" ref="FT87:FT89" si="347">if(and(FS87="x",FR87="x"), "both", "")</f>
        <v/>
      </c>
      <c r="FU87" s="61" t="str">
        <f t="shared" ref="FU87:FU89" si="348">if(and(FR87="",FS87=""), "none", "")</f>
        <v/>
      </c>
      <c r="FV87" s="74"/>
      <c r="FX87" s="80" t="s">
        <v>217</v>
      </c>
      <c r="FY87" s="80" t="s">
        <v>217</v>
      </c>
      <c r="GD87" s="80" t="s">
        <v>217</v>
      </c>
      <c r="GK87" s="80" t="s">
        <v>1164</v>
      </c>
      <c r="GL87" s="80" t="s">
        <v>1165</v>
      </c>
      <c r="GM87" s="80" t="s">
        <v>217</v>
      </c>
      <c r="GN87" s="80">
        <v>2.0</v>
      </c>
      <c r="GO87" s="80" t="s">
        <v>1166</v>
      </c>
      <c r="GP87" s="112">
        <v>212000.0</v>
      </c>
      <c r="GS87" s="80" t="s">
        <v>217</v>
      </c>
      <c r="GT87" s="80" t="s">
        <v>217</v>
      </c>
      <c r="GU87" s="61" t="str">
        <f t="shared" si="36"/>
        <v/>
      </c>
      <c r="GV87" s="61" t="str">
        <f t="shared" si="37"/>
        <v/>
      </c>
      <c r="GW87" s="61" t="str">
        <f t="shared" si="38"/>
        <v/>
      </c>
      <c r="GX87" s="61" t="str">
        <f t="shared" si="39"/>
        <v/>
      </c>
      <c r="GY87" s="61" t="str">
        <f t="shared" si="40"/>
        <v/>
      </c>
      <c r="GZ87" s="61" t="str">
        <f t="shared" si="41"/>
        <v/>
      </c>
      <c r="HA87" s="61" t="str">
        <f t="shared" si="42"/>
        <v/>
      </c>
      <c r="HB87" s="61" t="str">
        <f t="shared" si="43"/>
        <v>x</v>
      </c>
      <c r="HC87" s="61" t="str">
        <f t="shared" si="44"/>
        <v/>
      </c>
      <c r="HD87" s="61" t="str">
        <f t="shared" si="45"/>
        <v/>
      </c>
      <c r="HE87" s="61" t="str">
        <f t="shared" si="46"/>
        <v/>
      </c>
      <c r="HF87" s="61" t="str">
        <f t="shared" si="47"/>
        <v/>
      </c>
      <c r="HG87" s="61" t="str">
        <f t="shared" si="48"/>
        <v/>
      </c>
      <c r="HH87" s="61" t="str">
        <f t="shared" si="49"/>
        <v/>
      </c>
      <c r="HI87" s="61" t="str">
        <f t="shared" si="50"/>
        <v/>
      </c>
      <c r="HJ87" s="61" t="str">
        <f t="shared" si="51"/>
        <v/>
      </c>
      <c r="HK87" s="61" t="str">
        <f t="shared" si="52"/>
        <v/>
      </c>
      <c r="HL87" s="61" t="str">
        <f t="shared" si="53"/>
        <v/>
      </c>
      <c r="HM87" s="61" t="str">
        <f t="shared" si="54"/>
        <v>x</v>
      </c>
      <c r="HN87" s="61" t="str">
        <f t="shared" si="55"/>
        <v/>
      </c>
      <c r="HO87" s="61" t="str">
        <f t="shared" si="56"/>
        <v/>
      </c>
      <c r="HP87" s="61" t="str">
        <f t="shared" si="57"/>
        <v/>
      </c>
      <c r="HQ87" s="61" t="str">
        <f t="shared" si="58"/>
        <v/>
      </c>
      <c r="HR87" s="61" t="str">
        <f t="shared" si="59"/>
        <v/>
      </c>
      <c r="HS87" s="61" t="str">
        <f t="shared" si="60"/>
        <v/>
      </c>
      <c r="HT87" s="61" t="str">
        <f t="shared" si="61"/>
        <v>x</v>
      </c>
      <c r="HU87" s="61" t="str">
        <f t="shared" si="62"/>
        <v/>
      </c>
      <c r="HV87" s="61" t="str">
        <f t="shared" si="63"/>
        <v/>
      </c>
      <c r="HW87" s="61" t="str">
        <f t="shared" si="64"/>
        <v/>
      </c>
      <c r="HX87" s="61" t="str">
        <f t="shared" si="65"/>
        <v/>
      </c>
      <c r="HY87" s="61" t="str">
        <f t="shared" si="66"/>
        <v/>
      </c>
      <c r="HZ87" s="61" t="str">
        <f t="shared" si="67"/>
        <v/>
      </c>
    </row>
    <row r="88" ht="1.5" customHeight="1">
      <c r="A88" s="49" t="s">
        <v>1167</v>
      </c>
      <c r="B88" s="87" t="s">
        <v>1168</v>
      </c>
      <c r="C88" s="117" t="s">
        <v>1169</v>
      </c>
      <c r="D88" s="95" t="s">
        <v>209</v>
      </c>
      <c r="E88" s="96" t="str">
        <f t="shared" si="3"/>
        <v/>
      </c>
      <c r="F88" s="95" t="s">
        <v>245</v>
      </c>
      <c r="G88" s="95" t="s">
        <v>211</v>
      </c>
      <c r="H88" s="95">
        <v>2004.0</v>
      </c>
      <c r="I88" s="7"/>
      <c r="J88" s="95" t="s">
        <v>1170</v>
      </c>
      <c r="K88" s="97" t="str">
        <f t="shared" si="324"/>
        <v/>
      </c>
      <c r="L88" s="97">
        <f t="shared" si="325"/>
        <v>1</v>
      </c>
      <c r="M88" s="97" t="str">
        <f t="shared" si="326"/>
        <v/>
      </c>
      <c r="N88" s="97" t="str">
        <f t="shared" si="327"/>
        <v/>
      </c>
      <c r="O88" s="97" t="str">
        <f t="shared" si="328"/>
        <v/>
      </c>
      <c r="P88" s="97" t="str">
        <f t="shared" si="329"/>
        <v/>
      </c>
      <c r="Q88" s="97" t="b">
        <f t="shared" si="261"/>
        <v>1</v>
      </c>
      <c r="R88" s="97" t="b">
        <f t="shared" si="330"/>
        <v>1</v>
      </c>
      <c r="S88" s="95">
        <v>1.0</v>
      </c>
      <c r="T88" s="95">
        <v>1.0</v>
      </c>
      <c r="U88" s="95">
        <v>1.0</v>
      </c>
      <c r="V88" s="97" t="b">
        <f t="shared" si="331"/>
        <v>1</v>
      </c>
      <c r="W88" s="95">
        <v>1.0</v>
      </c>
      <c r="X88" s="95">
        <v>1.0</v>
      </c>
      <c r="Y88" s="95">
        <v>1.0</v>
      </c>
      <c r="Z88" s="7"/>
      <c r="AA88" s="97" t="str">
        <f t="shared" si="332"/>
        <v/>
      </c>
      <c r="AB88" s="97" t="str">
        <f t="shared" si="333"/>
        <v/>
      </c>
      <c r="AC88" s="98" t="s">
        <v>1171</v>
      </c>
      <c r="AD88" s="95" t="s">
        <v>266</v>
      </c>
      <c r="AE88" s="7"/>
      <c r="AF88" s="97">
        <f>countif('Charts-SLR'!A:A,AD88)</f>
        <v>1</v>
      </c>
      <c r="AG88" s="95" t="s">
        <v>450</v>
      </c>
      <c r="AH88" s="97">
        <f t="shared" si="334"/>
        <v>0</v>
      </c>
      <c r="AI88" s="95" t="s">
        <v>250</v>
      </c>
      <c r="AJ88" s="95">
        <v>31.0</v>
      </c>
      <c r="AK88" s="99">
        <f t="shared" si="335"/>
        <v>3.875</v>
      </c>
      <c r="AL88" s="97" t="str">
        <f t="shared" si="336"/>
        <v/>
      </c>
      <c r="AM88" s="97">
        <f t="shared" si="337"/>
        <v>31</v>
      </c>
      <c r="AN88" s="97" t="str">
        <f t="shared" si="338"/>
        <v/>
      </c>
      <c r="AO88" s="97" t="str">
        <f t="shared" si="339"/>
        <v/>
      </c>
      <c r="AP88" s="97" t="str">
        <f t="shared" si="340"/>
        <v/>
      </c>
      <c r="AQ88" s="97" t="str">
        <f t="shared" si="341"/>
        <v/>
      </c>
      <c r="AR88" s="100"/>
      <c r="AS88" s="100"/>
      <c r="AT88" s="100"/>
      <c r="AU88" s="100"/>
      <c r="AV88" s="100"/>
      <c r="AW88" s="100"/>
      <c r="AX88" s="100"/>
      <c r="AY88" s="100"/>
      <c r="AZ88" s="100"/>
      <c r="BA88" s="100"/>
      <c r="BB88" s="101" t="str">
        <f t="shared" si="106"/>
        <v>ERR</v>
      </c>
      <c r="BC88" s="102" t="s">
        <v>217</v>
      </c>
      <c r="BD88" s="102" t="s">
        <v>217</v>
      </c>
      <c r="BE88" s="102" t="s">
        <v>217</v>
      </c>
      <c r="BF88" s="100"/>
      <c r="BG88" s="100"/>
      <c r="BH88" s="100"/>
      <c r="BI88" s="103">
        <f t="shared" si="342"/>
        <v>3</v>
      </c>
      <c r="BJ88" s="102" t="s">
        <v>217</v>
      </c>
      <c r="BK88" s="100"/>
      <c r="BL88" s="100"/>
      <c r="BM88" s="100"/>
      <c r="BN88" s="102" t="s">
        <v>218</v>
      </c>
      <c r="BO88" s="102" t="s">
        <v>217</v>
      </c>
      <c r="BP88" s="100"/>
      <c r="BQ88" s="100"/>
      <c r="BR88" s="100"/>
      <c r="BS88" s="100"/>
      <c r="BT88" s="100"/>
      <c r="BU88" s="74"/>
      <c r="BV88" s="102" t="s">
        <v>217</v>
      </c>
      <c r="BW88" s="102" t="s">
        <v>217</v>
      </c>
      <c r="BX88" s="100"/>
      <c r="BY88" s="100"/>
      <c r="BZ88" s="100"/>
      <c r="CA88" s="102" t="s">
        <v>217</v>
      </c>
      <c r="CB88" s="102" t="s">
        <v>217</v>
      </c>
      <c r="CC88" s="100"/>
      <c r="CD88" s="100"/>
      <c r="CE88" s="100"/>
      <c r="CF88" s="100"/>
      <c r="CG88" s="100"/>
      <c r="CH88" s="102" t="s">
        <v>217</v>
      </c>
      <c r="CI88" s="103" t="str">
        <f t="shared" si="260"/>
        <v/>
      </c>
      <c r="CJ88" s="103">
        <f t="shared" si="343"/>
        <v>2</v>
      </c>
      <c r="CK88" s="100"/>
      <c r="CL88" s="100"/>
      <c r="CM88" s="102" t="s">
        <v>217</v>
      </c>
      <c r="CN88" s="102" t="s">
        <v>217</v>
      </c>
      <c r="CO88" s="102" t="s">
        <v>217</v>
      </c>
      <c r="CP88" s="100"/>
      <c r="CQ88" s="100"/>
      <c r="CR88" s="7"/>
      <c r="CS88" s="95" t="s">
        <v>217</v>
      </c>
      <c r="CT88" s="7"/>
      <c r="CU88" s="7"/>
      <c r="CV88" s="7"/>
      <c r="CW88" s="7"/>
      <c r="CX88" s="95" t="s">
        <v>217</v>
      </c>
      <c r="CY88" s="7"/>
      <c r="CZ88" s="7"/>
      <c r="DA88" s="7"/>
      <c r="DB88" s="95" t="s">
        <v>217</v>
      </c>
      <c r="DC88" s="7"/>
      <c r="DD88" s="7"/>
      <c r="DE88" s="7"/>
      <c r="DF88" s="7"/>
      <c r="DG88" s="97">
        <f t="shared" si="108"/>
        <v>2</v>
      </c>
      <c r="DH88" s="7"/>
      <c r="DI88" s="7"/>
      <c r="DJ88" s="7"/>
      <c r="DK88" s="7"/>
      <c r="DL88" s="98" t="s">
        <v>217</v>
      </c>
      <c r="DM88" s="97">
        <f t="shared" si="344"/>
        <v>1</v>
      </c>
      <c r="DN88" s="7"/>
      <c r="DO88" s="95" t="s">
        <v>217</v>
      </c>
      <c r="DP88" s="97" t="str">
        <f t="shared" si="109"/>
        <v/>
      </c>
      <c r="DQ88" s="97" t="str">
        <f t="shared" si="110"/>
        <v/>
      </c>
      <c r="DR88" s="97" t="str">
        <f t="shared" si="111"/>
        <v>FA</v>
      </c>
      <c r="DS88" s="100"/>
      <c r="DT88" s="100"/>
      <c r="DU88" s="100"/>
      <c r="DV88" s="100"/>
      <c r="DW88" s="100"/>
      <c r="DX88" s="100"/>
      <c r="DY88" s="103">
        <f t="shared" si="29"/>
        <v>0</v>
      </c>
      <c r="DZ88" s="103" t="str">
        <f t="shared" si="345"/>
        <v/>
      </c>
      <c r="EA88" s="100"/>
      <c r="EB88" s="100"/>
      <c r="EC88" s="100"/>
      <c r="ED88" s="100"/>
      <c r="EE88" s="103">
        <f t="shared" si="30"/>
        <v>0</v>
      </c>
      <c r="EF88" s="103" t="str">
        <f t="shared" si="70"/>
        <v/>
      </c>
      <c r="EG88" s="97" t="str">
        <f t="shared" si="31"/>
        <v/>
      </c>
      <c r="EH88" s="7"/>
      <c r="EI88" s="7"/>
      <c r="EJ88" s="100"/>
      <c r="EK88" s="100"/>
      <c r="EL88" s="100"/>
      <c r="EM88" s="100"/>
      <c r="EN88" s="7"/>
      <c r="EO88" s="7"/>
      <c r="EP88" s="7"/>
      <c r="EQ88" s="7"/>
      <c r="ER88" s="148"/>
      <c r="ES88" s="7"/>
      <c r="ET88" s="100"/>
      <c r="EU88" s="100"/>
      <c r="EV88" s="100"/>
      <c r="EW88" s="100"/>
      <c r="EX88" s="100"/>
      <c r="EY88" s="7"/>
      <c r="EZ88" s="7"/>
      <c r="FA88" s="7"/>
      <c r="FB88" s="7"/>
      <c r="FC88" s="7"/>
      <c r="FD88" s="7"/>
      <c r="FE88" s="97" t="str">
        <f t="shared" si="32"/>
        <v/>
      </c>
      <c r="FF88" s="7"/>
      <c r="FG88" s="7"/>
      <c r="FH88" s="7"/>
      <c r="FI88" s="7"/>
      <c r="FJ88" s="7"/>
      <c r="FK88" s="7"/>
      <c r="FL88" s="7"/>
      <c r="FM88" s="7"/>
      <c r="FN88" s="7"/>
      <c r="FO88" s="7"/>
      <c r="FP88" s="95" t="s">
        <v>217</v>
      </c>
      <c r="FQ88" s="97" t="str">
        <f t="shared" si="346"/>
        <v/>
      </c>
      <c r="FR88" s="95" t="s">
        <v>217</v>
      </c>
      <c r="FS88" s="7"/>
      <c r="FT88" s="97" t="str">
        <f t="shared" si="347"/>
        <v/>
      </c>
      <c r="FU88" s="97" t="str">
        <f t="shared" si="348"/>
        <v/>
      </c>
      <c r="FV88" s="100"/>
      <c r="FW88" s="7"/>
      <c r="FX88" s="7"/>
      <c r="FY88" s="7"/>
      <c r="FZ88" s="95" t="s">
        <v>217</v>
      </c>
      <c r="GA88" s="7"/>
      <c r="GB88" s="7"/>
      <c r="GC88" s="7"/>
      <c r="GD88" s="7"/>
      <c r="GE88" s="7"/>
      <c r="GF88" s="7"/>
      <c r="GG88" s="7"/>
      <c r="GH88" s="7"/>
      <c r="GI88" s="7"/>
      <c r="GJ88" s="95" t="s">
        <v>217</v>
      </c>
      <c r="GK88" s="95" t="s">
        <v>1172</v>
      </c>
      <c r="GL88" s="7"/>
      <c r="GM88" s="7"/>
      <c r="GN88" s="95">
        <v>1.0</v>
      </c>
      <c r="GO88" s="95" t="s">
        <v>1173</v>
      </c>
      <c r="GP88" s="121"/>
      <c r="GQ88" s="7"/>
      <c r="GR88" s="7"/>
      <c r="GS88" s="95" t="s">
        <v>217</v>
      </c>
      <c r="GT88" s="7"/>
      <c r="GU88" s="61" t="str">
        <f t="shared" si="36"/>
        <v/>
      </c>
      <c r="GV88" s="61" t="str">
        <f t="shared" si="37"/>
        <v/>
      </c>
      <c r="GW88" s="61" t="str">
        <f t="shared" si="38"/>
        <v/>
      </c>
      <c r="GX88" s="61" t="str">
        <f t="shared" si="39"/>
        <v/>
      </c>
      <c r="GY88" s="61" t="str">
        <f t="shared" si="40"/>
        <v/>
      </c>
      <c r="GZ88" s="61" t="str">
        <f t="shared" si="41"/>
        <v/>
      </c>
      <c r="HA88" s="61" t="str">
        <f t="shared" si="42"/>
        <v/>
      </c>
      <c r="HB88" s="61" t="str">
        <f t="shared" si="43"/>
        <v/>
      </c>
      <c r="HC88" s="61" t="str">
        <f t="shared" si="44"/>
        <v/>
      </c>
      <c r="HD88" s="61" t="str">
        <f t="shared" si="45"/>
        <v/>
      </c>
      <c r="HE88" s="61" t="str">
        <f t="shared" si="46"/>
        <v/>
      </c>
      <c r="HF88" s="61" t="str">
        <f t="shared" si="47"/>
        <v/>
      </c>
      <c r="HG88" s="61" t="str">
        <f t="shared" si="48"/>
        <v/>
      </c>
      <c r="HH88" s="61" t="str">
        <f t="shared" si="49"/>
        <v/>
      </c>
      <c r="HI88" s="61" t="str">
        <f t="shared" si="50"/>
        <v/>
      </c>
      <c r="HJ88" s="61" t="str">
        <f t="shared" si="51"/>
        <v/>
      </c>
      <c r="HK88" s="61" t="str">
        <f t="shared" si="52"/>
        <v/>
      </c>
      <c r="HL88" s="61" t="str">
        <f t="shared" si="53"/>
        <v/>
      </c>
      <c r="HM88" s="61" t="str">
        <f t="shared" si="54"/>
        <v/>
      </c>
      <c r="HN88" s="61" t="str">
        <f t="shared" si="55"/>
        <v/>
      </c>
      <c r="HO88" s="61" t="str">
        <f t="shared" si="56"/>
        <v/>
      </c>
      <c r="HP88" s="61" t="str">
        <f t="shared" si="57"/>
        <v/>
      </c>
      <c r="HQ88" s="61" t="str">
        <f t="shared" si="58"/>
        <v/>
      </c>
      <c r="HR88" s="61" t="str">
        <f t="shared" si="59"/>
        <v/>
      </c>
      <c r="HS88" s="61" t="str">
        <f t="shared" si="60"/>
        <v/>
      </c>
      <c r="HT88" s="61" t="str">
        <f t="shared" si="61"/>
        <v/>
      </c>
      <c r="HU88" s="61" t="str">
        <f t="shared" si="62"/>
        <v/>
      </c>
      <c r="HV88" s="61" t="str">
        <f t="shared" si="63"/>
        <v/>
      </c>
      <c r="HW88" s="61" t="str">
        <f t="shared" si="64"/>
        <v/>
      </c>
      <c r="HX88" s="61" t="str">
        <f t="shared" si="65"/>
        <v/>
      </c>
      <c r="HY88" s="61" t="str">
        <f t="shared" si="66"/>
        <v/>
      </c>
      <c r="HZ88" s="61" t="str">
        <f t="shared" si="67"/>
        <v/>
      </c>
    </row>
    <row r="89" ht="1.5" customHeight="1">
      <c r="A89" s="49" t="s">
        <v>1174</v>
      </c>
      <c r="B89" s="95" t="s">
        <v>1175</v>
      </c>
      <c r="C89" s="117" t="s">
        <v>1176</v>
      </c>
      <c r="D89" s="95" t="s">
        <v>245</v>
      </c>
      <c r="E89" s="96" t="str">
        <f t="shared" si="3"/>
        <v/>
      </c>
      <c r="F89" s="95" t="s">
        <v>210</v>
      </c>
      <c r="G89" s="95" t="s">
        <v>211</v>
      </c>
      <c r="H89" s="95">
        <v>2002.0</v>
      </c>
      <c r="I89" s="7"/>
      <c r="J89" s="95" t="s">
        <v>1177</v>
      </c>
      <c r="K89" s="97" t="str">
        <f t="shared" si="324"/>
        <v/>
      </c>
      <c r="L89" s="97" t="str">
        <f t="shared" si="325"/>
        <v/>
      </c>
      <c r="M89" s="97" t="str">
        <f t="shared" si="326"/>
        <v/>
      </c>
      <c r="N89" s="97" t="str">
        <f t="shared" si="327"/>
        <v/>
      </c>
      <c r="O89" s="97">
        <f t="shared" si="328"/>
        <v>1</v>
      </c>
      <c r="P89" s="97" t="str">
        <f t="shared" si="329"/>
        <v/>
      </c>
      <c r="Q89" s="97" t="b">
        <f t="shared" si="261"/>
        <v>1</v>
      </c>
      <c r="R89" s="97" t="b">
        <f t="shared" si="330"/>
        <v>1</v>
      </c>
      <c r="S89" s="95">
        <v>1.0</v>
      </c>
      <c r="T89" s="95">
        <v>1.0</v>
      </c>
      <c r="U89" s="95">
        <v>1.0</v>
      </c>
      <c r="V89" s="97" t="b">
        <f t="shared" si="331"/>
        <v>1</v>
      </c>
      <c r="W89" s="95">
        <v>1.0</v>
      </c>
      <c r="X89" s="95">
        <v>0.0</v>
      </c>
      <c r="Y89" s="95">
        <v>1.0</v>
      </c>
      <c r="Z89" s="7"/>
      <c r="AA89" s="97" t="str">
        <f t="shared" si="332"/>
        <v/>
      </c>
      <c r="AB89" s="97" t="str">
        <f t="shared" si="333"/>
        <v>Benedikt:www02, </v>
      </c>
      <c r="AC89" s="98" t="s">
        <v>1178</v>
      </c>
      <c r="AD89" s="95" t="s">
        <v>266</v>
      </c>
      <c r="AE89" s="7"/>
      <c r="AF89" s="97">
        <f>countif('Charts-SLR'!A:A,AD89)</f>
        <v>1</v>
      </c>
      <c r="AG89" s="95" t="s">
        <v>1037</v>
      </c>
      <c r="AH89" s="97">
        <f t="shared" si="334"/>
        <v>0</v>
      </c>
      <c r="AI89" s="95" t="s">
        <v>250</v>
      </c>
      <c r="AJ89" s="95">
        <v>2.0</v>
      </c>
      <c r="AK89" s="99">
        <f t="shared" si="335"/>
        <v>0.2</v>
      </c>
      <c r="AL89" s="97" t="str">
        <f t="shared" si="336"/>
        <v/>
      </c>
      <c r="AM89" s="97">
        <f t="shared" si="337"/>
        <v>2</v>
      </c>
      <c r="AN89" s="97" t="str">
        <f t="shared" si="338"/>
        <v/>
      </c>
      <c r="AO89" s="97" t="str">
        <f t="shared" si="339"/>
        <v/>
      </c>
      <c r="AP89" s="97" t="str">
        <f t="shared" si="340"/>
        <v/>
      </c>
      <c r="AQ89" s="97" t="str">
        <f t="shared" si="341"/>
        <v/>
      </c>
      <c r="AR89" s="100"/>
      <c r="AS89" s="100"/>
      <c r="AT89" s="100"/>
      <c r="AU89" s="100"/>
      <c r="AV89" s="100"/>
      <c r="AW89" s="100"/>
      <c r="AX89" s="100"/>
      <c r="AY89" s="100"/>
      <c r="AZ89" s="100"/>
      <c r="BA89" s="100"/>
      <c r="BB89" s="101" t="str">
        <f t="shared" si="106"/>
        <v>ERR</v>
      </c>
      <c r="BC89" s="102" t="s">
        <v>217</v>
      </c>
      <c r="BD89" s="102" t="s">
        <v>217</v>
      </c>
      <c r="BE89" s="100"/>
      <c r="BF89" s="100"/>
      <c r="BG89" s="100"/>
      <c r="BH89" s="100"/>
      <c r="BI89" s="103">
        <f t="shared" si="342"/>
        <v>2</v>
      </c>
      <c r="BJ89" s="100"/>
      <c r="BK89" s="100"/>
      <c r="BL89" s="100"/>
      <c r="BM89" s="100"/>
      <c r="BN89" s="100"/>
      <c r="BO89" s="102" t="s">
        <v>217</v>
      </c>
      <c r="BP89" s="100"/>
      <c r="BQ89" s="100"/>
      <c r="BR89" s="100"/>
      <c r="BS89" s="100"/>
      <c r="BT89" s="100"/>
      <c r="BU89" s="74"/>
      <c r="BV89" s="102" t="s">
        <v>217</v>
      </c>
      <c r="BW89" s="100"/>
      <c r="BX89" s="102" t="s">
        <v>217</v>
      </c>
      <c r="BY89" s="100"/>
      <c r="BZ89" s="100"/>
      <c r="CA89" s="102" t="s">
        <v>217</v>
      </c>
      <c r="CB89" s="102" t="s">
        <v>217</v>
      </c>
      <c r="CC89" s="100"/>
      <c r="CD89" s="100"/>
      <c r="CE89" s="100"/>
      <c r="CF89" s="100"/>
      <c r="CG89" s="102" t="s">
        <v>217</v>
      </c>
      <c r="CH89" s="100"/>
      <c r="CI89" s="103" t="str">
        <f t="shared" si="260"/>
        <v/>
      </c>
      <c r="CJ89" s="103">
        <f t="shared" si="343"/>
        <v>1</v>
      </c>
      <c r="CK89" s="100"/>
      <c r="CL89" s="100"/>
      <c r="CM89" s="102" t="s">
        <v>217</v>
      </c>
      <c r="CN89" s="100"/>
      <c r="CO89" s="100"/>
      <c r="CP89" s="100"/>
      <c r="CQ89" s="100"/>
      <c r="CR89" s="7"/>
      <c r="CS89" s="95" t="s">
        <v>217</v>
      </c>
      <c r="CT89" s="7"/>
      <c r="CU89" s="7"/>
      <c r="CV89" s="7"/>
      <c r="CW89" s="7"/>
      <c r="CX89" s="7"/>
      <c r="CY89" s="7"/>
      <c r="CZ89" s="95" t="s">
        <v>217</v>
      </c>
      <c r="DA89" s="7"/>
      <c r="DB89" s="7"/>
      <c r="DC89" s="7"/>
      <c r="DD89" s="7"/>
      <c r="DE89" s="7"/>
      <c r="DF89" s="7"/>
      <c r="DG89" s="97">
        <f t="shared" si="108"/>
        <v>1</v>
      </c>
      <c r="DH89" s="95" t="s">
        <v>217</v>
      </c>
      <c r="DI89" s="7"/>
      <c r="DJ89" s="7"/>
      <c r="DK89" s="7"/>
      <c r="DL89" s="7"/>
      <c r="DM89" s="97">
        <f t="shared" si="344"/>
        <v>1</v>
      </c>
      <c r="DN89" s="7"/>
      <c r="DO89" s="95" t="s">
        <v>217</v>
      </c>
      <c r="DP89" s="97" t="str">
        <f t="shared" si="109"/>
        <v/>
      </c>
      <c r="DQ89" s="97" t="str">
        <f t="shared" si="110"/>
        <v/>
      </c>
      <c r="DR89" s="97" t="str">
        <f t="shared" si="111"/>
        <v>FA</v>
      </c>
      <c r="DS89" s="100"/>
      <c r="DT89" s="100"/>
      <c r="DU89" s="100"/>
      <c r="DV89" s="100"/>
      <c r="DW89" s="100"/>
      <c r="DX89" s="100"/>
      <c r="DY89" s="103">
        <f t="shared" si="29"/>
        <v>0</v>
      </c>
      <c r="DZ89" s="103" t="str">
        <f t="shared" si="345"/>
        <v/>
      </c>
      <c r="EA89" s="100"/>
      <c r="EB89" s="100"/>
      <c r="EC89" s="100"/>
      <c r="ED89" s="100"/>
      <c r="EE89" s="103">
        <f t="shared" si="30"/>
        <v>0</v>
      </c>
      <c r="EF89" s="103" t="str">
        <f t="shared" si="70"/>
        <v/>
      </c>
      <c r="EG89" s="97" t="str">
        <f t="shared" si="31"/>
        <v/>
      </c>
      <c r="EH89" s="7"/>
      <c r="EI89" s="7"/>
      <c r="EJ89" s="100"/>
      <c r="EK89" s="100"/>
      <c r="EL89" s="100"/>
      <c r="EM89" s="100"/>
      <c r="EN89" s="7"/>
      <c r="EO89" s="7"/>
      <c r="EP89" s="7"/>
      <c r="EQ89" s="7"/>
      <c r="ER89" s="7"/>
      <c r="ES89" s="7"/>
      <c r="ET89" s="100"/>
      <c r="EU89" s="100"/>
      <c r="EV89" s="100"/>
      <c r="EW89" s="100"/>
      <c r="EX89" s="100"/>
      <c r="EY89" s="7"/>
      <c r="EZ89" s="7"/>
      <c r="FA89" s="7"/>
      <c r="FB89" s="7"/>
      <c r="FC89" s="7"/>
      <c r="FD89" s="7"/>
      <c r="FE89" s="97" t="str">
        <f t="shared" si="32"/>
        <v/>
      </c>
      <c r="FF89" s="7"/>
      <c r="FG89" s="7"/>
      <c r="FH89" s="7"/>
      <c r="FI89" s="7"/>
      <c r="FJ89" s="7"/>
      <c r="FK89" s="7"/>
      <c r="FL89" s="7"/>
      <c r="FM89" s="7"/>
      <c r="FN89" s="7"/>
      <c r="FO89" s="7"/>
      <c r="FP89" s="95" t="s">
        <v>217</v>
      </c>
      <c r="FQ89" s="97" t="str">
        <f t="shared" si="346"/>
        <v/>
      </c>
      <c r="FR89" s="95" t="s">
        <v>217</v>
      </c>
      <c r="FS89" s="7"/>
      <c r="FT89" s="97" t="str">
        <f t="shared" si="347"/>
        <v/>
      </c>
      <c r="FU89" s="97" t="str">
        <f t="shared" si="348"/>
        <v/>
      </c>
      <c r="FV89" s="100"/>
      <c r="FW89" s="95" t="s">
        <v>217</v>
      </c>
      <c r="FX89" s="7"/>
      <c r="FY89" s="95" t="s">
        <v>217</v>
      </c>
      <c r="FZ89" s="7"/>
      <c r="GA89" s="7"/>
      <c r="GB89" s="7"/>
      <c r="GC89" s="7"/>
      <c r="GD89" s="7"/>
      <c r="GE89" s="7"/>
      <c r="GF89" s="7"/>
      <c r="GG89" s="7"/>
      <c r="GH89" s="7"/>
      <c r="GI89" s="95" t="s">
        <v>217</v>
      </c>
      <c r="GJ89" s="7"/>
      <c r="GK89" s="7"/>
      <c r="GL89" s="95" t="s">
        <v>1179</v>
      </c>
      <c r="GM89" s="7"/>
      <c r="GN89" s="95">
        <v>2.0</v>
      </c>
      <c r="GO89" s="95" t="s">
        <v>1180</v>
      </c>
      <c r="GP89" s="121"/>
      <c r="GQ89" s="7"/>
      <c r="GR89" s="7"/>
      <c r="GS89" s="7"/>
      <c r="GT89" s="95" t="s">
        <v>217</v>
      </c>
      <c r="GU89" s="61" t="str">
        <f t="shared" si="36"/>
        <v/>
      </c>
      <c r="GV89" s="61" t="str">
        <f t="shared" si="37"/>
        <v/>
      </c>
      <c r="GW89" s="61" t="str">
        <f t="shared" si="38"/>
        <v/>
      </c>
      <c r="GX89" s="61" t="str">
        <f t="shared" si="39"/>
        <v/>
      </c>
      <c r="GY89" s="61" t="str">
        <f t="shared" si="40"/>
        <v>x</v>
      </c>
      <c r="GZ89" s="61" t="str">
        <f t="shared" si="41"/>
        <v/>
      </c>
      <c r="HA89" s="61" t="str">
        <f t="shared" si="42"/>
        <v/>
      </c>
      <c r="HB89" s="61" t="str">
        <f t="shared" si="43"/>
        <v/>
      </c>
      <c r="HC89" s="61" t="str">
        <f t="shared" si="44"/>
        <v/>
      </c>
      <c r="HD89" s="61" t="str">
        <f t="shared" si="45"/>
        <v/>
      </c>
      <c r="HE89" s="61" t="str">
        <f t="shared" si="46"/>
        <v/>
      </c>
      <c r="HF89" s="61" t="str">
        <f t="shared" si="47"/>
        <v/>
      </c>
      <c r="HG89" s="61" t="str">
        <f t="shared" si="48"/>
        <v/>
      </c>
      <c r="HH89" s="61" t="str">
        <f t="shared" si="49"/>
        <v/>
      </c>
      <c r="HI89" s="61" t="str">
        <f t="shared" si="50"/>
        <v/>
      </c>
      <c r="HJ89" s="61" t="str">
        <f t="shared" si="51"/>
        <v/>
      </c>
      <c r="HK89" s="61" t="str">
        <f t="shared" si="52"/>
        <v/>
      </c>
      <c r="HL89" s="61" t="str">
        <f t="shared" si="53"/>
        <v/>
      </c>
      <c r="HM89" s="61" t="str">
        <f t="shared" si="54"/>
        <v/>
      </c>
      <c r="HN89" s="61" t="str">
        <f t="shared" si="55"/>
        <v/>
      </c>
      <c r="HO89" s="61" t="str">
        <f t="shared" si="56"/>
        <v/>
      </c>
      <c r="HP89" s="61" t="str">
        <f t="shared" si="57"/>
        <v/>
      </c>
      <c r="HQ89" s="61" t="str">
        <f t="shared" si="58"/>
        <v/>
      </c>
      <c r="HR89" s="61" t="str">
        <f t="shared" si="59"/>
        <v/>
      </c>
      <c r="HS89" s="61" t="str">
        <f t="shared" si="60"/>
        <v/>
      </c>
      <c r="HT89" s="61" t="str">
        <f t="shared" si="61"/>
        <v/>
      </c>
      <c r="HU89" s="61" t="str">
        <f t="shared" si="62"/>
        <v/>
      </c>
      <c r="HV89" s="61" t="str">
        <f t="shared" si="63"/>
        <v/>
      </c>
      <c r="HW89" s="61" t="str">
        <f t="shared" si="64"/>
        <v/>
      </c>
      <c r="HX89" s="61" t="str">
        <f t="shared" si="65"/>
        <v/>
      </c>
      <c r="HY89" s="61" t="str">
        <f t="shared" si="66"/>
        <v/>
      </c>
      <c r="HZ89" s="61" t="str">
        <f t="shared" si="67"/>
        <v/>
      </c>
    </row>
    <row r="90" ht="15.0" customHeight="1">
      <c r="A90" s="49" t="s">
        <v>1181</v>
      </c>
      <c r="B90" s="60" t="s">
        <v>1182</v>
      </c>
      <c r="C90" s="117" t="s">
        <v>1183</v>
      </c>
      <c r="D90" s="95" t="s">
        <v>301</v>
      </c>
      <c r="E90" s="96" t="str">
        <f t="shared" si="3"/>
        <v/>
      </c>
      <c r="F90" s="95" t="s">
        <v>209</v>
      </c>
      <c r="G90" s="95" t="s">
        <v>217</v>
      </c>
      <c r="H90" s="95">
        <v>2006.0</v>
      </c>
      <c r="I90" s="7"/>
      <c r="J90" s="95" t="s">
        <v>1184</v>
      </c>
      <c r="K90" s="7"/>
      <c r="L90" s="7"/>
      <c r="M90" s="7"/>
      <c r="N90" s="7"/>
      <c r="O90" s="7"/>
      <c r="P90" s="7"/>
      <c r="Q90" s="97" t="b">
        <f t="shared" si="261"/>
        <v>1</v>
      </c>
      <c r="R90" s="97" t="b">
        <f>if(AVERAGE(S90:U90)&gt;=5, TRUE, FALSE)</f>
        <v>1</v>
      </c>
      <c r="S90" s="95">
        <v>4.0</v>
      </c>
      <c r="T90" s="95">
        <v>6.0</v>
      </c>
      <c r="U90" s="95">
        <v>6.0</v>
      </c>
      <c r="V90" s="97" t="b">
        <f>if(AVERAGE(W90:Y90)&gt;=5, TRUE, FALSE)</f>
        <v>1</v>
      </c>
      <c r="W90" s="95">
        <v>5.0</v>
      </c>
      <c r="X90" s="95">
        <v>6.0</v>
      </c>
      <c r="Y90" s="95">
        <v>6.0</v>
      </c>
      <c r="Z90" s="142" t="s">
        <v>1185</v>
      </c>
      <c r="AA90" s="7"/>
      <c r="AB90" s="7"/>
      <c r="AC90" s="120"/>
      <c r="AD90" s="7"/>
      <c r="AE90" s="7"/>
      <c r="AF90" s="7"/>
      <c r="AG90" s="7"/>
      <c r="AH90" s="7"/>
      <c r="AI90" s="7"/>
      <c r="AJ90" s="7"/>
      <c r="AK90" s="7"/>
      <c r="AL90" s="7"/>
      <c r="AM90" s="7"/>
      <c r="AN90" s="7"/>
      <c r="AO90" s="7"/>
      <c r="AP90" s="7"/>
      <c r="AQ90" s="7"/>
      <c r="AR90" s="100"/>
      <c r="AS90" s="100"/>
      <c r="AT90" s="100"/>
      <c r="AU90" s="100"/>
      <c r="AV90" s="100"/>
      <c r="AW90" s="100"/>
      <c r="AX90" s="100"/>
      <c r="AY90" s="100"/>
      <c r="AZ90" s="100"/>
      <c r="BA90" s="100"/>
      <c r="BB90" s="101" t="str">
        <f t="shared" si="106"/>
        <v>ERR</v>
      </c>
      <c r="BC90" s="100"/>
      <c r="BD90" s="102" t="s">
        <v>217</v>
      </c>
      <c r="BE90" s="102" t="s">
        <v>217</v>
      </c>
      <c r="BF90" s="100"/>
      <c r="BG90" s="100"/>
      <c r="BH90" s="100"/>
      <c r="BI90" s="100"/>
      <c r="BJ90" s="102" t="s">
        <v>217</v>
      </c>
      <c r="BK90" s="100"/>
      <c r="BL90" s="100"/>
      <c r="BM90" s="100"/>
      <c r="BN90" s="102" t="s">
        <v>218</v>
      </c>
      <c r="BO90" s="102" t="s">
        <v>217</v>
      </c>
      <c r="BP90" s="100"/>
      <c r="BQ90" s="100"/>
      <c r="BR90" s="100"/>
      <c r="BS90" s="100"/>
      <c r="BT90" s="100"/>
      <c r="BU90" s="74"/>
      <c r="BV90" s="100"/>
      <c r="BW90" s="102" t="s">
        <v>217</v>
      </c>
      <c r="BX90" s="100"/>
      <c r="BY90" s="100"/>
      <c r="BZ90" s="100"/>
      <c r="CA90" s="102" t="s">
        <v>217</v>
      </c>
      <c r="CB90" s="100"/>
      <c r="CC90" s="100"/>
      <c r="CD90" s="100"/>
      <c r="CE90" s="102" t="s">
        <v>217</v>
      </c>
      <c r="CF90" s="102" t="s">
        <v>644</v>
      </c>
      <c r="CG90" s="100"/>
      <c r="CH90" s="100"/>
      <c r="CI90" s="103" t="str">
        <f t="shared" si="260"/>
        <v/>
      </c>
      <c r="CJ90" s="100"/>
      <c r="CK90" s="100"/>
      <c r="CL90" s="100"/>
      <c r="CM90" s="102" t="s">
        <v>217</v>
      </c>
      <c r="CN90" s="100"/>
      <c r="CO90" s="100"/>
      <c r="CP90" s="100"/>
      <c r="CQ90" s="100"/>
      <c r="CR90" s="7"/>
      <c r="CS90" s="7"/>
      <c r="CT90" s="95" t="s">
        <v>217</v>
      </c>
      <c r="CU90" s="7"/>
      <c r="CV90" s="7"/>
      <c r="CW90" s="7"/>
      <c r="CX90" s="7"/>
      <c r="CY90" s="7"/>
      <c r="CZ90" s="7"/>
      <c r="DA90" s="7"/>
      <c r="DB90" s="95" t="s">
        <v>217</v>
      </c>
      <c r="DC90" s="7"/>
      <c r="DD90" s="7"/>
      <c r="DE90" s="7"/>
      <c r="DF90" s="7"/>
      <c r="DG90" s="97">
        <f t="shared" si="108"/>
        <v>1</v>
      </c>
      <c r="DH90" s="7"/>
      <c r="DI90" s="95" t="s">
        <v>705</v>
      </c>
      <c r="DJ90" s="7"/>
      <c r="DK90" s="7"/>
      <c r="DL90" s="95" t="s">
        <v>217</v>
      </c>
      <c r="DM90" s="7"/>
      <c r="DN90" s="7"/>
      <c r="DO90" s="95" t="s">
        <v>217</v>
      </c>
      <c r="DP90" s="97" t="str">
        <f t="shared" si="109"/>
        <v/>
      </c>
      <c r="DQ90" s="97" t="str">
        <f t="shared" si="110"/>
        <v/>
      </c>
      <c r="DR90" s="97" t="str">
        <f t="shared" si="111"/>
        <v>FA</v>
      </c>
      <c r="DS90" s="100"/>
      <c r="DT90" s="100"/>
      <c r="DU90" s="100"/>
      <c r="DV90" s="100"/>
      <c r="DW90" s="100"/>
      <c r="DX90" s="100"/>
      <c r="DY90" s="103">
        <f t="shared" si="29"/>
        <v>0</v>
      </c>
      <c r="DZ90" s="103" t="str">
        <f t="shared" si="345"/>
        <v/>
      </c>
      <c r="EA90" s="100"/>
      <c r="EB90" s="100"/>
      <c r="EC90" s="100"/>
      <c r="ED90" s="100"/>
      <c r="EE90" s="103">
        <f t="shared" si="30"/>
        <v>0</v>
      </c>
      <c r="EF90" s="103" t="str">
        <f t="shared" si="70"/>
        <v/>
      </c>
      <c r="EG90" s="97" t="str">
        <f t="shared" si="31"/>
        <v/>
      </c>
      <c r="EH90" s="7"/>
      <c r="EI90" s="7"/>
      <c r="EJ90" s="100"/>
      <c r="EK90" s="100"/>
      <c r="EL90" s="100"/>
      <c r="EM90" s="100"/>
      <c r="EN90" s="7"/>
      <c r="EO90" s="7"/>
      <c r="EP90" s="7"/>
      <c r="EQ90" s="7"/>
      <c r="ER90" s="7"/>
      <c r="ES90" s="7"/>
      <c r="ET90" s="100"/>
      <c r="EU90" s="100"/>
      <c r="EV90" s="100"/>
      <c r="EW90" s="100"/>
      <c r="EX90" s="100"/>
      <c r="EY90" s="7"/>
      <c r="EZ90" s="7"/>
      <c r="FA90" s="7"/>
      <c r="FB90" s="7"/>
      <c r="FC90" s="7"/>
      <c r="FD90" s="7"/>
      <c r="FE90" s="97" t="str">
        <f t="shared" si="32"/>
        <v/>
      </c>
      <c r="FF90" s="7"/>
      <c r="FG90" s="7"/>
      <c r="FH90" s="7"/>
      <c r="FI90" s="7"/>
      <c r="FJ90" s="7"/>
      <c r="FK90" s="7"/>
      <c r="FL90" s="7"/>
      <c r="FM90" s="7"/>
      <c r="FN90" s="7"/>
      <c r="FO90" s="7"/>
      <c r="FP90" s="7"/>
      <c r="FQ90" s="7"/>
      <c r="FR90" s="95" t="s">
        <v>217</v>
      </c>
      <c r="FS90" s="7"/>
      <c r="FT90" s="7"/>
      <c r="FU90" s="7"/>
      <c r="FV90" s="100"/>
      <c r="FW90" s="7"/>
      <c r="FX90" s="7"/>
      <c r="FY90" s="7"/>
      <c r="FZ90" s="95" t="s">
        <v>217</v>
      </c>
      <c r="GA90" s="7"/>
      <c r="GB90" s="7"/>
      <c r="GC90" s="7"/>
      <c r="GD90" s="7"/>
      <c r="GE90" s="7"/>
      <c r="GF90" s="7"/>
      <c r="GG90" s="7"/>
      <c r="GH90" s="7"/>
      <c r="GI90" s="95" t="s">
        <v>217</v>
      </c>
      <c r="GJ90" s="7"/>
      <c r="GK90" s="7"/>
      <c r="GL90" s="95" t="s">
        <v>1186</v>
      </c>
      <c r="GM90" s="7"/>
      <c r="GN90" s="7"/>
      <c r="GO90" s="7"/>
      <c r="GP90" s="7"/>
      <c r="GQ90" s="7"/>
      <c r="GR90" s="7"/>
      <c r="GS90" s="7"/>
      <c r="GT90" s="7"/>
      <c r="GU90" s="61" t="str">
        <f t="shared" si="36"/>
        <v/>
      </c>
      <c r="GV90" s="61" t="str">
        <f t="shared" si="37"/>
        <v/>
      </c>
      <c r="GW90" s="61" t="str">
        <f t="shared" si="38"/>
        <v/>
      </c>
      <c r="GX90" s="61" t="str">
        <f t="shared" si="39"/>
        <v/>
      </c>
      <c r="GY90" s="61" t="str">
        <f t="shared" si="40"/>
        <v/>
      </c>
      <c r="GZ90" s="61" t="str">
        <f t="shared" si="41"/>
        <v/>
      </c>
      <c r="HA90" s="61" t="str">
        <f t="shared" si="42"/>
        <v/>
      </c>
      <c r="HB90" s="61" t="str">
        <f t="shared" si="43"/>
        <v/>
      </c>
      <c r="HC90" s="61" t="str">
        <f t="shared" si="44"/>
        <v/>
      </c>
      <c r="HD90" s="61" t="str">
        <f t="shared" si="45"/>
        <v/>
      </c>
      <c r="HE90" s="61" t="str">
        <f t="shared" si="46"/>
        <v/>
      </c>
      <c r="HF90" s="61" t="str">
        <f t="shared" si="47"/>
        <v/>
      </c>
      <c r="HG90" s="61" t="str">
        <f t="shared" si="48"/>
        <v/>
      </c>
      <c r="HH90" s="61" t="str">
        <f t="shared" si="49"/>
        <v/>
      </c>
      <c r="HI90" s="61" t="str">
        <f t="shared" si="50"/>
        <v/>
      </c>
      <c r="HJ90" s="61" t="str">
        <f t="shared" si="51"/>
        <v/>
      </c>
      <c r="HK90" s="61" t="str">
        <f t="shared" si="52"/>
        <v/>
      </c>
      <c r="HL90" s="61" t="str">
        <f t="shared" si="53"/>
        <v/>
      </c>
      <c r="HM90" s="61" t="str">
        <f t="shared" si="54"/>
        <v/>
      </c>
      <c r="HN90" s="61" t="str">
        <f t="shared" si="55"/>
        <v/>
      </c>
      <c r="HO90" s="61" t="str">
        <f t="shared" si="56"/>
        <v/>
      </c>
      <c r="HP90" s="61" t="str">
        <f t="shared" si="57"/>
        <v/>
      </c>
      <c r="HQ90" s="61" t="str">
        <f t="shared" si="58"/>
        <v/>
      </c>
      <c r="HR90" s="61" t="str">
        <f t="shared" si="59"/>
        <v/>
      </c>
      <c r="HS90" s="61" t="str">
        <f t="shared" si="60"/>
        <v/>
      </c>
      <c r="HT90" s="61" t="str">
        <f t="shared" si="61"/>
        <v/>
      </c>
      <c r="HU90" s="61" t="str">
        <f t="shared" si="62"/>
        <v/>
      </c>
      <c r="HV90" s="61" t="str">
        <f t="shared" si="63"/>
        <v/>
      </c>
      <c r="HW90" s="61" t="str">
        <f t="shared" si="64"/>
        <v/>
      </c>
      <c r="HX90" s="61" t="str">
        <f t="shared" si="65"/>
        <v/>
      </c>
      <c r="HY90" s="61" t="str">
        <f t="shared" si="66"/>
        <v/>
      </c>
      <c r="HZ90" s="61" t="str">
        <f t="shared" si="67"/>
        <v/>
      </c>
    </row>
    <row r="91" ht="1.5" customHeight="1">
      <c r="A91" s="49" t="s">
        <v>1187</v>
      </c>
      <c r="B91" s="95" t="s">
        <v>1188</v>
      </c>
      <c r="C91" s="117" t="s">
        <v>1189</v>
      </c>
      <c r="D91" s="95" t="s">
        <v>209</v>
      </c>
      <c r="E91" s="96" t="str">
        <f t="shared" si="3"/>
        <v/>
      </c>
      <c r="F91" s="95" t="s">
        <v>245</v>
      </c>
      <c r="G91" s="95" t="s">
        <v>211</v>
      </c>
      <c r="H91" s="95">
        <v>2005.0</v>
      </c>
      <c r="I91" s="7"/>
      <c r="J91" s="95" t="s">
        <v>1190</v>
      </c>
      <c r="K91" s="97" t="str">
        <f t="shared" ref="K91:K93" si="349">if(AND(D91="Aysu", F91="Vahid"), 1, "")</f>
        <v/>
      </c>
      <c r="L91" s="97">
        <f t="shared" ref="L91:L93" si="350">if(AND(D91="Aysu", F91="Ali"), 1, "")</f>
        <v>1</v>
      </c>
      <c r="M91" s="97" t="str">
        <f t="shared" ref="M91:M93" si="351">if(AND(D91="Vahid", F91="Aysu"), 1, "")</f>
        <v/>
      </c>
      <c r="N91" s="97" t="str">
        <f t="shared" ref="N91:N93" si="352">if(AND(D91="Vahid", F91="Ali"), 1, "")</f>
        <v/>
      </c>
      <c r="O91" s="97" t="str">
        <f t="shared" ref="O91:O93" si="353">if(AND(D91="Ali", F91="Vahid"), 1, "")</f>
        <v/>
      </c>
      <c r="P91" s="97" t="str">
        <f t="shared" ref="P91:P93" si="354">if(AND(D91="Ali", F91="Aysu"), 1, "")</f>
        <v/>
      </c>
      <c r="Q91" s="97" t="b">
        <f t="shared" si="261"/>
        <v>1</v>
      </c>
      <c r="R91" s="97" t="b">
        <f t="shared" ref="R91:R93" si="355">SUM(S91:U91)&gt;=2</f>
        <v>1</v>
      </c>
      <c r="S91" s="95">
        <v>1.0</v>
      </c>
      <c r="T91" s="95">
        <v>1.0</v>
      </c>
      <c r="U91" s="95">
        <v>1.0</v>
      </c>
      <c r="V91" s="97" t="b">
        <f t="shared" ref="V91:V93" si="356">SUM(W91:Y91)&gt;=2</f>
        <v>1</v>
      </c>
      <c r="W91" s="95">
        <v>1.0</v>
      </c>
      <c r="X91" s="95">
        <v>0.0</v>
      </c>
      <c r="Y91" s="95">
        <v>1.0</v>
      </c>
      <c r="Z91" s="7"/>
      <c r="AA91" s="97" t="str">
        <f t="shared" ref="AA91:AA93" si="357">iferror(if(find("Pollock", AC91)&gt;0,concat(J91,", "), ""))</f>
        <v/>
      </c>
      <c r="AB91" s="97" t="str">
        <f t="shared" ref="AB91:AB93" si="358">if(GI91="x",concat(J91,", "), "")</f>
        <v/>
      </c>
      <c r="AC91" s="98" t="s">
        <v>213</v>
      </c>
      <c r="AD91" s="95" t="s">
        <v>214</v>
      </c>
      <c r="AE91" s="7"/>
      <c r="AF91" s="97">
        <f>countif('Charts-SLR'!A:A,AD91)</f>
        <v>1</v>
      </c>
      <c r="AG91" s="95" t="s">
        <v>450</v>
      </c>
      <c r="AH91" s="97">
        <f t="shared" ref="AH91:AH93" si="359">countif({},AG91)</f>
        <v>0</v>
      </c>
      <c r="AI91" s="95" t="s">
        <v>231</v>
      </c>
      <c r="AJ91" s="95">
        <v>12.0</v>
      </c>
      <c r="AK91" s="99">
        <f t="shared" ref="AK91:AK93" si="360">AJ91/(2012-H91)</f>
        <v>1.714285714</v>
      </c>
      <c r="AL91" s="97">
        <f t="shared" ref="AL91:AL93" si="361">if(AI91="J",AJ91,"")</f>
        <v>12</v>
      </c>
      <c r="AM91" s="97" t="str">
        <f t="shared" ref="AM91:AM93" si="362">if(AI91="C",AJ91,"")</f>
        <v/>
      </c>
      <c r="AN91" s="97" t="str">
        <f t="shared" ref="AN91:AN93" si="363">if(AI91="W", AJ91,"")</f>
        <v/>
      </c>
      <c r="AO91" s="97" t="str">
        <f t="shared" ref="AO91:AO93" si="364">if(AI91="M",AJ91,"")</f>
        <v/>
      </c>
      <c r="AP91" s="97" t="str">
        <f t="shared" ref="AP91:AP93" si="365">if(AI91="S",AJ91,"")</f>
        <v/>
      </c>
      <c r="AQ91" s="97" t="str">
        <f t="shared" ref="AQ91:AQ93" si="366">if(BH91="x",concat(J91,", "), "")</f>
        <v/>
      </c>
      <c r="AR91" s="100"/>
      <c r="AS91" s="100"/>
      <c r="AT91" s="100"/>
      <c r="AU91" s="100"/>
      <c r="AV91" s="100"/>
      <c r="AW91" s="100"/>
      <c r="AX91" s="100"/>
      <c r="AY91" s="100"/>
      <c r="AZ91" s="100"/>
      <c r="BA91" s="100"/>
      <c r="BB91" s="101" t="str">
        <f t="shared" si="106"/>
        <v>ERR</v>
      </c>
      <c r="BC91" s="102" t="s">
        <v>217</v>
      </c>
      <c r="BD91" s="100"/>
      <c r="BE91" s="100"/>
      <c r="BF91" s="100"/>
      <c r="BG91" s="100"/>
      <c r="BH91" s="100"/>
      <c r="BI91" s="103">
        <f t="shared" ref="BI91:BI93" si="367">COUNTA(BC91:BH91)</f>
        <v>1</v>
      </c>
      <c r="BJ91" s="100"/>
      <c r="BK91" s="100"/>
      <c r="BL91" s="100"/>
      <c r="BM91" s="100"/>
      <c r="BN91" s="100"/>
      <c r="BO91" s="102" t="s">
        <v>217</v>
      </c>
      <c r="BP91" s="100"/>
      <c r="BQ91" s="100"/>
      <c r="BR91" s="100"/>
      <c r="BS91" s="100"/>
      <c r="BT91" s="100"/>
      <c r="BU91" s="74"/>
      <c r="BV91" s="102" t="s">
        <v>217</v>
      </c>
      <c r="BW91" s="100"/>
      <c r="BX91" s="100"/>
      <c r="BY91" s="100"/>
      <c r="BZ91" s="100"/>
      <c r="CA91" s="100"/>
      <c r="CB91" s="100"/>
      <c r="CC91" s="100"/>
      <c r="CD91" s="100"/>
      <c r="CE91" s="102" t="s">
        <v>217</v>
      </c>
      <c r="CF91" s="102" t="s">
        <v>1191</v>
      </c>
      <c r="CG91" s="100"/>
      <c r="CH91" s="102" t="s">
        <v>217</v>
      </c>
      <c r="CI91" s="103" t="str">
        <f t="shared" si="260"/>
        <v/>
      </c>
      <c r="CJ91" s="103">
        <f t="shared" ref="CJ91:CJ93" si="368">if(CG91="x", 1, if(CH91="x", 2, 3))</f>
        <v>2</v>
      </c>
      <c r="CK91" s="100"/>
      <c r="CL91" s="102" t="s">
        <v>217</v>
      </c>
      <c r="CM91" s="100"/>
      <c r="CN91" s="102" t="s">
        <v>217</v>
      </c>
      <c r="CO91" s="100"/>
      <c r="CP91" s="100"/>
      <c r="CQ91" s="100"/>
      <c r="CR91" s="7"/>
      <c r="CS91" s="7"/>
      <c r="CT91" s="7"/>
      <c r="CU91" s="7"/>
      <c r="CV91" s="7"/>
      <c r="CW91" s="7"/>
      <c r="CX91" s="7"/>
      <c r="CY91" s="95" t="s">
        <v>217</v>
      </c>
      <c r="CZ91" s="7"/>
      <c r="DA91" s="7"/>
      <c r="DB91" s="7"/>
      <c r="DC91" s="7"/>
      <c r="DD91" s="7"/>
      <c r="DE91" s="7"/>
      <c r="DF91" s="7"/>
      <c r="DG91" s="97">
        <f t="shared" si="108"/>
        <v>1</v>
      </c>
      <c r="DH91" s="7"/>
      <c r="DI91" s="7"/>
      <c r="DJ91" s="7"/>
      <c r="DK91" s="7"/>
      <c r="DL91" s="7"/>
      <c r="DM91" s="97">
        <f t="shared" ref="DM91:DM93" si="369">counta(DH91:DL91)</f>
        <v>0</v>
      </c>
      <c r="DN91" s="7"/>
      <c r="DO91" s="95" t="s">
        <v>217</v>
      </c>
      <c r="DP91" s="97" t="str">
        <f t="shared" si="109"/>
        <v/>
      </c>
      <c r="DQ91" s="97" t="str">
        <f t="shared" si="110"/>
        <v/>
      </c>
      <c r="DR91" s="97" t="str">
        <f t="shared" si="111"/>
        <v>FA</v>
      </c>
      <c r="DS91" s="100"/>
      <c r="DT91" s="100"/>
      <c r="DU91" s="100"/>
      <c r="DV91" s="100"/>
      <c r="DW91" s="100"/>
      <c r="DX91" s="100"/>
      <c r="DY91" s="103">
        <f t="shared" si="29"/>
        <v>0</v>
      </c>
      <c r="DZ91" s="103" t="str">
        <f t="shared" si="345"/>
        <v/>
      </c>
      <c r="EA91" s="100"/>
      <c r="EB91" s="100"/>
      <c r="EC91" s="100"/>
      <c r="ED91" s="100"/>
      <c r="EE91" s="103">
        <f t="shared" si="30"/>
        <v>0</v>
      </c>
      <c r="EF91" s="103" t="str">
        <f t="shared" si="70"/>
        <v/>
      </c>
      <c r="EG91" s="97" t="str">
        <f t="shared" si="31"/>
        <v/>
      </c>
      <c r="EH91" s="7"/>
      <c r="EI91" s="7"/>
      <c r="EJ91" s="100"/>
      <c r="EK91" s="100"/>
      <c r="EL91" s="100"/>
      <c r="EM91" s="100"/>
      <c r="EN91" s="7"/>
      <c r="EO91" s="95" t="s">
        <v>217</v>
      </c>
      <c r="EP91" s="7"/>
      <c r="EQ91" s="7"/>
      <c r="ER91" s="7"/>
      <c r="ES91" s="7"/>
      <c r="ET91" s="100"/>
      <c r="EU91" s="100"/>
      <c r="EV91" s="100"/>
      <c r="EW91" s="100"/>
      <c r="EX91" s="100"/>
      <c r="EY91" s="7"/>
      <c r="EZ91" s="7"/>
      <c r="FA91" s="7"/>
      <c r="FB91" s="7"/>
      <c r="FC91" s="7"/>
      <c r="FD91" s="7"/>
      <c r="FE91" s="97" t="str">
        <f t="shared" si="32"/>
        <v/>
      </c>
      <c r="FF91" s="7"/>
      <c r="FG91" s="7"/>
      <c r="FH91" s="7"/>
      <c r="FI91" s="7"/>
      <c r="FJ91" s="7"/>
      <c r="FK91" s="7"/>
      <c r="FL91" s="7"/>
      <c r="FM91" s="7"/>
      <c r="FN91" s="7"/>
      <c r="FO91" s="7"/>
      <c r="FP91" s="95" t="s">
        <v>217</v>
      </c>
      <c r="FQ91" s="97" t="str">
        <f t="shared" ref="FQ91:FQ93" si="370">if(and(FO91="",FP91=""), "both", "")</f>
        <v/>
      </c>
      <c r="FR91" s="95" t="s">
        <v>217</v>
      </c>
      <c r="FS91" s="7"/>
      <c r="FT91" s="97" t="str">
        <f t="shared" ref="FT91:FT93" si="371">if(and(FS91="x",FR91="x"), "both", "")</f>
        <v/>
      </c>
      <c r="FU91" s="97" t="str">
        <f t="shared" ref="FU91:FU93" si="372">if(and(FR91="",FS91=""), "none", "")</f>
        <v/>
      </c>
      <c r="FV91" s="100"/>
      <c r="FW91" s="7"/>
      <c r="FX91" s="7"/>
      <c r="FY91" s="95" t="s">
        <v>217</v>
      </c>
      <c r="FZ91" s="7"/>
      <c r="GA91" s="7"/>
      <c r="GB91" s="7"/>
      <c r="GC91" s="95" t="s">
        <v>217</v>
      </c>
      <c r="GD91" s="7"/>
      <c r="GE91" s="7"/>
      <c r="GF91" s="7"/>
      <c r="GG91" s="7"/>
      <c r="GH91" s="7"/>
      <c r="GI91" s="7"/>
      <c r="GJ91" s="7"/>
      <c r="GK91" s="7"/>
      <c r="GL91" s="7"/>
      <c r="GM91" s="7"/>
      <c r="GN91" s="95">
        <v>11.0</v>
      </c>
      <c r="GO91" s="95" t="s">
        <v>1192</v>
      </c>
      <c r="GP91" s="105">
        <v>255938.0</v>
      </c>
      <c r="GQ91" s="7"/>
      <c r="GR91" s="95" t="s">
        <v>217</v>
      </c>
      <c r="GS91" s="7"/>
      <c r="GT91" s="7"/>
      <c r="GU91" s="61" t="str">
        <f t="shared" si="36"/>
        <v/>
      </c>
      <c r="GV91" s="61" t="str">
        <f t="shared" si="37"/>
        <v/>
      </c>
      <c r="GW91" s="61" t="str">
        <f t="shared" si="38"/>
        <v/>
      </c>
      <c r="GX91" s="61" t="str">
        <f t="shared" si="39"/>
        <v/>
      </c>
      <c r="GY91" s="61" t="str">
        <f t="shared" si="40"/>
        <v/>
      </c>
      <c r="GZ91" s="61" t="str">
        <f t="shared" si="41"/>
        <v/>
      </c>
      <c r="HA91" s="61" t="str">
        <f t="shared" si="42"/>
        <v/>
      </c>
      <c r="HB91" s="61" t="str">
        <f t="shared" si="43"/>
        <v/>
      </c>
      <c r="HC91" s="61" t="str">
        <f t="shared" si="44"/>
        <v/>
      </c>
      <c r="HD91" s="61" t="str">
        <f t="shared" si="45"/>
        <v/>
      </c>
      <c r="HE91" s="61" t="str">
        <f t="shared" si="46"/>
        <v/>
      </c>
      <c r="HF91" s="61" t="str">
        <f t="shared" si="47"/>
        <v/>
      </c>
      <c r="HG91" s="61" t="str">
        <f t="shared" si="48"/>
        <v/>
      </c>
      <c r="HH91" s="61" t="str">
        <f t="shared" si="49"/>
        <v/>
      </c>
      <c r="HI91" s="61" t="str">
        <f t="shared" si="50"/>
        <v/>
      </c>
      <c r="HJ91" s="61" t="str">
        <f t="shared" si="51"/>
        <v/>
      </c>
      <c r="HK91" s="61" t="str">
        <f t="shared" si="52"/>
        <v/>
      </c>
      <c r="HL91" s="61" t="str">
        <f t="shared" si="53"/>
        <v/>
      </c>
      <c r="HM91" s="61" t="str">
        <f t="shared" si="54"/>
        <v/>
      </c>
      <c r="HN91" s="61" t="str">
        <f t="shared" si="55"/>
        <v/>
      </c>
      <c r="HO91" s="61" t="str">
        <f t="shared" si="56"/>
        <v/>
      </c>
      <c r="HP91" s="61" t="str">
        <f t="shared" si="57"/>
        <v/>
      </c>
      <c r="HQ91" s="61" t="str">
        <f t="shared" si="58"/>
        <v/>
      </c>
      <c r="HR91" s="61" t="str">
        <f t="shared" si="59"/>
        <v/>
      </c>
      <c r="HS91" s="61" t="str">
        <f t="shared" si="60"/>
        <v/>
      </c>
      <c r="HT91" s="61" t="str">
        <f t="shared" si="61"/>
        <v/>
      </c>
      <c r="HU91" s="61" t="str">
        <f t="shared" si="62"/>
        <v/>
      </c>
      <c r="HV91" s="61" t="str">
        <f t="shared" si="63"/>
        <v/>
      </c>
      <c r="HW91" s="61" t="str">
        <f t="shared" si="64"/>
        <v/>
      </c>
      <c r="HX91" s="61" t="str">
        <f t="shared" si="65"/>
        <v/>
      </c>
      <c r="HY91" s="61" t="str">
        <f t="shared" si="66"/>
        <v/>
      </c>
      <c r="HZ91" s="61" t="str">
        <f t="shared" si="67"/>
        <v/>
      </c>
    </row>
    <row r="92" ht="1.5" customHeight="1">
      <c r="A92" s="49" t="s">
        <v>1193</v>
      </c>
      <c r="B92" s="80" t="s">
        <v>1194</v>
      </c>
      <c r="C92" s="113" t="s">
        <v>1195</v>
      </c>
      <c r="D92" s="80" t="s">
        <v>210</v>
      </c>
      <c r="E92" s="107">
        <f t="shared" si="3"/>
        <v>3</v>
      </c>
      <c r="F92" s="80" t="s">
        <v>245</v>
      </c>
      <c r="G92" s="80" t="s">
        <v>211</v>
      </c>
      <c r="H92" s="80">
        <v>2006.0</v>
      </c>
      <c r="J92" s="80" t="s">
        <v>1196</v>
      </c>
      <c r="K92" s="61" t="str">
        <f t="shared" si="349"/>
        <v/>
      </c>
      <c r="L92" s="61" t="str">
        <f t="shared" si="350"/>
        <v/>
      </c>
      <c r="M92" s="61" t="str">
        <f t="shared" si="351"/>
        <v/>
      </c>
      <c r="N92" s="61">
        <f t="shared" si="352"/>
        <v>1</v>
      </c>
      <c r="O92" s="61" t="str">
        <f t="shared" si="353"/>
        <v/>
      </c>
      <c r="P92" s="61" t="str">
        <f t="shared" si="354"/>
        <v/>
      </c>
      <c r="Q92" s="61" t="b">
        <f t="shared" si="261"/>
        <v>1</v>
      </c>
      <c r="R92" s="61" t="b">
        <f t="shared" si="355"/>
        <v>1</v>
      </c>
      <c r="S92" s="80">
        <v>1.0</v>
      </c>
      <c r="T92" s="80">
        <v>1.0</v>
      </c>
      <c r="U92" s="80">
        <v>1.0</v>
      </c>
      <c r="V92" s="61" t="b">
        <f t="shared" si="356"/>
        <v>1</v>
      </c>
      <c r="W92" s="80">
        <v>1.0</v>
      </c>
      <c r="X92" s="80">
        <v>1.0</v>
      </c>
      <c r="Y92" s="80">
        <v>1.0</v>
      </c>
      <c r="AA92" s="61" t="str">
        <f t="shared" si="357"/>
        <v>Sampath:issre06, </v>
      </c>
      <c r="AB92" s="61" t="str">
        <f t="shared" si="358"/>
        <v/>
      </c>
      <c r="AC92" s="114" t="s">
        <v>360</v>
      </c>
      <c r="AD92" s="80" t="s">
        <v>266</v>
      </c>
      <c r="AF92" s="61">
        <f>countif('Charts-SLR'!A:A,AD92)</f>
        <v>1</v>
      </c>
      <c r="AG92" s="80" t="s">
        <v>413</v>
      </c>
      <c r="AH92" s="61">
        <f t="shared" si="359"/>
        <v>0</v>
      </c>
      <c r="AI92" s="80" t="s">
        <v>268</v>
      </c>
      <c r="AJ92" s="80">
        <v>15.0</v>
      </c>
      <c r="AK92" s="108">
        <f t="shared" si="360"/>
        <v>2.5</v>
      </c>
      <c r="AL92" s="61" t="str">
        <f t="shared" si="361"/>
        <v/>
      </c>
      <c r="AM92" s="61" t="str">
        <f t="shared" si="362"/>
        <v/>
      </c>
      <c r="AN92" s="61" t="str">
        <f t="shared" si="363"/>
        <v/>
      </c>
      <c r="AO92" s="61" t="str">
        <f t="shared" si="364"/>
        <v/>
      </c>
      <c r="AP92" s="61">
        <f t="shared" si="365"/>
        <v>15</v>
      </c>
      <c r="AQ92" s="61" t="str">
        <f t="shared" si="366"/>
        <v>Sampath:issre06, </v>
      </c>
      <c r="AR92" s="74"/>
      <c r="AS92" s="73" t="s">
        <v>217</v>
      </c>
      <c r="AT92" s="74"/>
      <c r="AU92" s="74"/>
      <c r="AV92" s="74"/>
      <c r="AW92" s="74"/>
      <c r="AX92" s="74"/>
      <c r="AY92" s="74"/>
      <c r="AZ92" s="74"/>
      <c r="BA92" s="74"/>
      <c r="BB92" s="109" t="str">
        <f t="shared" si="106"/>
        <v>ERR</v>
      </c>
      <c r="BC92" s="74"/>
      <c r="BD92" s="74"/>
      <c r="BE92" s="74"/>
      <c r="BF92" s="74"/>
      <c r="BG92" s="74"/>
      <c r="BH92" s="73" t="s">
        <v>217</v>
      </c>
      <c r="BI92" s="110">
        <f t="shared" si="367"/>
        <v>1</v>
      </c>
      <c r="BJ92" s="74"/>
      <c r="BK92" s="74"/>
      <c r="BL92" s="74"/>
      <c r="BM92" s="74"/>
      <c r="BN92" s="74"/>
      <c r="BO92" s="74"/>
      <c r="BP92" s="74"/>
      <c r="BQ92" s="73" t="s">
        <v>217</v>
      </c>
      <c r="BR92" s="74"/>
      <c r="BS92" s="74"/>
      <c r="BT92" s="74"/>
      <c r="BU92" s="74"/>
      <c r="BV92" s="73" t="s">
        <v>217</v>
      </c>
      <c r="BW92" s="74"/>
      <c r="BX92" s="74"/>
      <c r="BY92" s="73" t="s">
        <v>217</v>
      </c>
      <c r="BZ92" s="74"/>
      <c r="CA92" s="74"/>
      <c r="CB92" s="74"/>
      <c r="CC92" s="74"/>
      <c r="CD92" s="73" t="s">
        <v>217</v>
      </c>
      <c r="CE92" s="74"/>
      <c r="CF92" s="74"/>
      <c r="CG92" s="74"/>
      <c r="CH92" s="73" t="s">
        <v>217</v>
      </c>
      <c r="CI92" s="111" t="str">
        <f t="shared" si="260"/>
        <v/>
      </c>
      <c r="CJ92" s="110">
        <f t="shared" si="368"/>
        <v>2</v>
      </c>
      <c r="CK92" s="73" t="s">
        <v>217</v>
      </c>
      <c r="CL92" s="74"/>
      <c r="CM92" s="74"/>
      <c r="CN92" s="74"/>
      <c r="CO92" s="74"/>
      <c r="CP92" s="73" t="s">
        <v>217</v>
      </c>
      <c r="CQ92" s="74"/>
      <c r="CR92" s="80" t="s">
        <v>217</v>
      </c>
      <c r="CV92" s="80" t="s">
        <v>217</v>
      </c>
      <c r="DG92" s="61">
        <f t="shared" si="108"/>
        <v>1</v>
      </c>
      <c r="DI92" s="80" t="s">
        <v>217</v>
      </c>
      <c r="DM92" s="61">
        <f t="shared" si="369"/>
        <v>1</v>
      </c>
      <c r="DN92" s="80" t="s">
        <v>217</v>
      </c>
      <c r="DP92" s="61" t="str">
        <f t="shared" si="109"/>
        <v/>
      </c>
      <c r="DQ92" s="61" t="str">
        <f t="shared" si="110"/>
        <v>FM</v>
      </c>
      <c r="DR92" s="61" t="str">
        <f t="shared" si="111"/>
        <v/>
      </c>
      <c r="DS92" s="73" t="s">
        <v>268</v>
      </c>
      <c r="DT92" s="74"/>
      <c r="DU92" s="74"/>
      <c r="DV92" s="74"/>
      <c r="DW92" s="73" t="s">
        <v>217</v>
      </c>
      <c r="DX92" s="74"/>
      <c r="DY92" s="110">
        <f t="shared" si="29"/>
        <v>2</v>
      </c>
      <c r="DZ92" s="110" t="str">
        <f t="shared" si="345"/>
        <v>x</v>
      </c>
      <c r="EA92" s="74"/>
      <c r="EB92" s="73" t="s">
        <v>217</v>
      </c>
      <c r="EC92" s="73" t="s">
        <v>217</v>
      </c>
      <c r="ED92" s="74"/>
      <c r="EE92" s="110">
        <f t="shared" si="30"/>
        <v>2</v>
      </c>
      <c r="EF92" s="110" t="str">
        <f t="shared" si="70"/>
        <v>x</v>
      </c>
      <c r="EG92" s="61" t="str">
        <f t="shared" si="31"/>
        <v/>
      </c>
      <c r="EI92" s="80" t="s">
        <v>1197</v>
      </c>
      <c r="EJ92" s="74"/>
      <c r="EK92" s="74"/>
      <c r="EL92" s="74"/>
      <c r="EM92" s="74"/>
      <c r="EN92" s="80" t="s">
        <v>217</v>
      </c>
      <c r="ES92" s="80" t="s">
        <v>1198</v>
      </c>
      <c r="ET92" s="73">
        <v>0.0</v>
      </c>
      <c r="EU92" s="74"/>
      <c r="EV92" s="74"/>
      <c r="EW92" s="74"/>
      <c r="EX92" s="74"/>
      <c r="EZ92" s="80" t="s">
        <v>1199</v>
      </c>
      <c r="FA92" s="80" t="s">
        <v>1200</v>
      </c>
      <c r="FB92" s="80" t="s">
        <v>1201</v>
      </c>
      <c r="FD92" s="80" t="s">
        <v>256</v>
      </c>
      <c r="FE92" s="97">
        <f t="shared" si="32"/>
        <v>3</v>
      </c>
      <c r="FF92" s="80">
        <v>1.0</v>
      </c>
      <c r="FG92" s="80">
        <v>1.0</v>
      </c>
      <c r="FH92" s="80">
        <v>1.0</v>
      </c>
      <c r="FI92" s="61">
        <f t="shared" ref="FI92:FI96" si="373">sum(FF92:FH92)</f>
        <v>3</v>
      </c>
      <c r="FJ92" s="80">
        <v>1.0</v>
      </c>
      <c r="FK92" s="80">
        <v>0.0</v>
      </c>
      <c r="FL92" s="80">
        <v>0.0</v>
      </c>
      <c r="FM92" s="61" t="str">
        <f t="shared" ref="FM92:FM96" si="374">if(GP92&lt;1000, "0", if(GP92&lt;10000, "0.5","1"))</f>
        <v>1</v>
      </c>
      <c r="FN92" s="61">
        <f>SUM.LEGACY(FJ92:FM92)</f>
        <v>2</v>
      </c>
      <c r="FP92" s="80" t="s">
        <v>217</v>
      </c>
      <c r="FQ92" s="61" t="str">
        <f t="shared" si="370"/>
        <v/>
      </c>
      <c r="FS92" s="80" t="s">
        <v>217</v>
      </c>
      <c r="FT92" s="61" t="str">
        <f t="shared" si="371"/>
        <v/>
      </c>
      <c r="FU92" s="61" t="str">
        <f t="shared" si="372"/>
        <v/>
      </c>
      <c r="FV92" s="74"/>
      <c r="GA92" s="80" t="s">
        <v>217</v>
      </c>
      <c r="GD92" s="80" t="s">
        <v>217</v>
      </c>
      <c r="GN92" s="80">
        <v>4.0</v>
      </c>
      <c r="GO92" s="80" t="s">
        <v>1202</v>
      </c>
      <c r="GP92" s="112">
        <v>79466.0</v>
      </c>
      <c r="GS92" s="80" t="s">
        <v>217</v>
      </c>
      <c r="GT92" s="80" t="s">
        <v>217</v>
      </c>
      <c r="GU92" s="61" t="str">
        <f t="shared" si="36"/>
        <v/>
      </c>
      <c r="GV92" s="61" t="str">
        <f t="shared" si="37"/>
        <v/>
      </c>
      <c r="GW92" s="61" t="str">
        <f t="shared" si="38"/>
        <v/>
      </c>
      <c r="GX92" s="61" t="str">
        <f t="shared" si="39"/>
        <v/>
      </c>
      <c r="GY92" s="61" t="str">
        <f t="shared" si="40"/>
        <v/>
      </c>
      <c r="GZ92" s="61" t="str">
        <f t="shared" si="41"/>
        <v/>
      </c>
      <c r="HA92" s="61" t="str">
        <f t="shared" si="42"/>
        <v/>
      </c>
      <c r="HB92" s="61" t="str">
        <f t="shared" si="43"/>
        <v/>
      </c>
      <c r="HC92" s="61" t="str">
        <f t="shared" si="44"/>
        <v/>
      </c>
      <c r="HD92" s="61" t="str">
        <f t="shared" si="45"/>
        <v/>
      </c>
      <c r="HE92" s="61" t="str">
        <f t="shared" si="46"/>
        <v/>
      </c>
      <c r="HF92" s="61" t="str">
        <f t="shared" si="47"/>
        <v>x</v>
      </c>
      <c r="HG92" s="61" t="str">
        <f t="shared" si="48"/>
        <v/>
      </c>
      <c r="HH92" s="61" t="str">
        <f t="shared" si="49"/>
        <v/>
      </c>
      <c r="HI92" s="61" t="str">
        <f t="shared" si="50"/>
        <v/>
      </c>
      <c r="HJ92" s="61" t="str">
        <f t="shared" si="51"/>
        <v/>
      </c>
      <c r="HK92" s="61" t="str">
        <f t="shared" si="52"/>
        <v/>
      </c>
      <c r="HL92" s="61" t="str">
        <f t="shared" si="53"/>
        <v/>
      </c>
      <c r="HM92" s="61" t="str">
        <f t="shared" si="54"/>
        <v/>
      </c>
      <c r="HN92" s="61" t="str">
        <f t="shared" si="55"/>
        <v/>
      </c>
      <c r="HO92" s="61" t="str">
        <f t="shared" si="56"/>
        <v/>
      </c>
      <c r="HP92" s="61" t="str">
        <f t="shared" si="57"/>
        <v/>
      </c>
      <c r="HQ92" s="61" t="str">
        <f t="shared" si="58"/>
        <v/>
      </c>
      <c r="HR92" s="61" t="str">
        <f t="shared" si="59"/>
        <v/>
      </c>
      <c r="HS92" s="61" t="str">
        <f t="shared" si="60"/>
        <v/>
      </c>
      <c r="HT92" s="61" t="str">
        <f t="shared" si="61"/>
        <v/>
      </c>
      <c r="HU92" s="61" t="str">
        <f t="shared" si="62"/>
        <v/>
      </c>
      <c r="HV92" s="61" t="str">
        <f t="shared" si="63"/>
        <v/>
      </c>
      <c r="HW92" s="61" t="str">
        <f t="shared" si="64"/>
        <v/>
      </c>
      <c r="HX92" s="61" t="str">
        <f t="shared" si="65"/>
        <v/>
      </c>
      <c r="HY92" s="61" t="str">
        <f t="shared" si="66"/>
        <v/>
      </c>
      <c r="HZ92" s="61" t="str">
        <f t="shared" si="67"/>
        <v/>
      </c>
    </row>
    <row r="93" ht="1.5" customHeight="1">
      <c r="A93" s="49" t="s">
        <v>1203</v>
      </c>
      <c r="B93" s="80" t="s">
        <v>1204</v>
      </c>
      <c r="C93" s="113" t="s">
        <v>1205</v>
      </c>
      <c r="D93" s="80" t="s">
        <v>210</v>
      </c>
      <c r="E93" s="107">
        <f t="shared" si="3"/>
        <v>2</v>
      </c>
      <c r="F93" s="80" t="s">
        <v>245</v>
      </c>
      <c r="G93" s="80" t="s">
        <v>211</v>
      </c>
      <c r="H93" s="80">
        <v>2006.0</v>
      </c>
      <c r="J93" s="80" t="s">
        <v>1206</v>
      </c>
      <c r="K93" s="61" t="str">
        <f t="shared" si="349"/>
        <v/>
      </c>
      <c r="L93" s="61" t="str">
        <f t="shared" si="350"/>
        <v/>
      </c>
      <c r="M93" s="61" t="str">
        <f t="shared" si="351"/>
        <v/>
      </c>
      <c r="N93" s="61">
        <f t="shared" si="352"/>
        <v>1</v>
      </c>
      <c r="O93" s="61" t="str">
        <f t="shared" si="353"/>
        <v/>
      </c>
      <c r="P93" s="61" t="str">
        <f t="shared" si="354"/>
        <v/>
      </c>
      <c r="Q93" s="61" t="b">
        <f t="shared" si="261"/>
        <v>1</v>
      </c>
      <c r="R93" s="61" t="b">
        <f t="shared" si="355"/>
        <v>1</v>
      </c>
      <c r="S93" s="80">
        <v>1.0</v>
      </c>
      <c r="T93" s="80">
        <v>1.0</v>
      </c>
      <c r="U93" s="80">
        <v>1.0</v>
      </c>
      <c r="V93" s="61" t="b">
        <f t="shared" si="356"/>
        <v>1</v>
      </c>
      <c r="W93" s="80">
        <v>1.0</v>
      </c>
      <c r="X93" s="80">
        <v>1.0</v>
      </c>
      <c r="AA93" s="61" t="str">
        <f t="shared" si="357"/>
        <v/>
      </c>
      <c r="AB93" s="61" t="str">
        <f t="shared" si="358"/>
        <v/>
      </c>
      <c r="AC93" s="114" t="s">
        <v>1207</v>
      </c>
      <c r="AD93" s="80" t="s">
        <v>266</v>
      </c>
      <c r="AF93" s="61">
        <f>countif('Charts-SLR'!A:A,AD93)</f>
        <v>1</v>
      </c>
      <c r="AG93" s="80" t="s">
        <v>1208</v>
      </c>
      <c r="AH93" s="61">
        <f t="shared" si="359"/>
        <v>0</v>
      </c>
      <c r="AI93" s="80" t="s">
        <v>231</v>
      </c>
      <c r="AJ93" s="80">
        <v>6.0</v>
      </c>
      <c r="AK93" s="108">
        <f t="shared" si="360"/>
        <v>1</v>
      </c>
      <c r="AL93" s="61">
        <f t="shared" si="361"/>
        <v>6</v>
      </c>
      <c r="AM93" s="61" t="str">
        <f t="shared" si="362"/>
        <v/>
      </c>
      <c r="AN93" s="61" t="str">
        <f t="shared" si="363"/>
        <v/>
      </c>
      <c r="AO93" s="61" t="str">
        <f t="shared" si="364"/>
        <v/>
      </c>
      <c r="AP93" s="61" t="str">
        <f t="shared" si="365"/>
        <v/>
      </c>
      <c r="AQ93" s="61" t="str">
        <f t="shared" si="366"/>
        <v/>
      </c>
      <c r="AR93" s="74"/>
      <c r="AS93" s="74"/>
      <c r="AT93" s="74"/>
      <c r="AU93" s="74"/>
      <c r="AV93" s="74"/>
      <c r="AW93" s="74"/>
      <c r="AX93" s="74"/>
      <c r="AY93" s="74"/>
      <c r="AZ93" s="74"/>
      <c r="BA93" s="73" t="s">
        <v>217</v>
      </c>
      <c r="BB93" s="109" t="str">
        <f t="shared" si="106"/>
        <v/>
      </c>
      <c r="BC93" s="73" t="s">
        <v>217</v>
      </c>
      <c r="BD93" s="74"/>
      <c r="BE93" s="73" t="s">
        <v>217</v>
      </c>
      <c r="BF93" s="74"/>
      <c r="BG93" s="74"/>
      <c r="BH93" s="74"/>
      <c r="BI93" s="110">
        <f t="shared" si="367"/>
        <v>2</v>
      </c>
      <c r="BJ93" s="74"/>
      <c r="BK93" s="74"/>
      <c r="BL93" s="74"/>
      <c r="BM93" s="73" t="s">
        <v>1209</v>
      </c>
      <c r="BN93" s="73" t="s">
        <v>1210</v>
      </c>
      <c r="BO93" s="74"/>
      <c r="BP93" s="73" t="s">
        <v>217</v>
      </c>
      <c r="BQ93" s="74"/>
      <c r="BR93" s="74"/>
      <c r="BS93" s="74"/>
      <c r="BT93" s="74"/>
      <c r="BU93" s="74"/>
      <c r="BV93" s="73" t="s">
        <v>217</v>
      </c>
      <c r="BW93" s="74"/>
      <c r="BX93" s="74"/>
      <c r="BY93" s="73" t="s">
        <v>217</v>
      </c>
      <c r="BZ93" s="74"/>
      <c r="CA93" s="74"/>
      <c r="CB93" s="74"/>
      <c r="CC93" s="74"/>
      <c r="CD93" s="74"/>
      <c r="CE93" s="73" t="s">
        <v>217</v>
      </c>
      <c r="CF93" s="73" t="s">
        <v>836</v>
      </c>
      <c r="CG93" s="73" t="s">
        <v>217</v>
      </c>
      <c r="CH93" s="74"/>
      <c r="CI93" s="111" t="str">
        <f t="shared" si="260"/>
        <v/>
      </c>
      <c r="CJ93" s="110">
        <f t="shared" si="368"/>
        <v>1</v>
      </c>
      <c r="CK93" s="74"/>
      <c r="CL93" s="74"/>
      <c r="CM93" s="73" t="s">
        <v>217</v>
      </c>
      <c r="CN93" s="74"/>
      <c r="CO93" s="74"/>
      <c r="CP93" s="73" t="s">
        <v>217</v>
      </c>
      <c r="CQ93" s="74"/>
      <c r="CR93" s="80" t="s">
        <v>217</v>
      </c>
      <c r="DE93" s="80" t="s">
        <v>217</v>
      </c>
      <c r="DG93" s="61">
        <f t="shared" si="108"/>
        <v>1</v>
      </c>
      <c r="DI93" s="80" t="s">
        <v>217</v>
      </c>
      <c r="DM93" s="61">
        <f t="shared" si="369"/>
        <v>1</v>
      </c>
      <c r="DN93" s="80" t="s">
        <v>217</v>
      </c>
      <c r="DP93" s="61" t="str">
        <f t="shared" si="109"/>
        <v/>
      </c>
      <c r="DQ93" s="61" t="str">
        <f t="shared" si="110"/>
        <v>FM</v>
      </c>
      <c r="DR93" s="61" t="str">
        <f t="shared" si="111"/>
        <v/>
      </c>
      <c r="DS93" s="74"/>
      <c r="DT93" s="74"/>
      <c r="DU93" s="74"/>
      <c r="DV93" s="74"/>
      <c r="DW93" s="74"/>
      <c r="DX93" s="74"/>
      <c r="DY93" s="110">
        <f t="shared" si="29"/>
        <v>0</v>
      </c>
      <c r="DZ93" s="110" t="str">
        <f t="shared" si="345"/>
        <v/>
      </c>
      <c r="EA93" s="74"/>
      <c r="EB93" s="74"/>
      <c r="EC93" s="74"/>
      <c r="ED93" s="74"/>
      <c r="EE93" s="110">
        <f t="shared" si="30"/>
        <v>0</v>
      </c>
      <c r="EF93" s="110" t="str">
        <f t="shared" si="70"/>
        <v/>
      </c>
      <c r="EG93" s="61" t="str">
        <f t="shared" si="31"/>
        <v/>
      </c>
      <c r="EH93" s="80" t="s">
        <v>1138</v>
      </c>
      <c r="EI93" s="80" t="s">
        <v>1211</v>
      </c>
      <c r="EJ93" s="74"/>
      <c r="EK93" s="74"/>
      <c r="EL93" s="74"/>
      <c r="EM93" s="74"/>
      <c r="ES93" s="80" t="s">
        <v>1212</v>
      </c>
      <c r="ET93" s="73">
        <v>0.0</v>
      </c>
      <c r="EU93" s="74"/>
      <c r="EV93" s="74"/>
      <c r="EW93" s="74"/>
      <c r="EX93" s="74"/>
      <c r="EZ93" s="80" t="s">
        <v>1213</v>
      </c>
      <c r="FE93" s="97">
        <f t="shared" si="32"/>
        <v>0</v>
      </c>
      <c r="FF93" s="80">
        <v>1.0</v>
      </c>
      <c r="FG93" s="80">
        <v>0.5</v>
      </c>
      <c r="FH93" s="80">
        <v>0.5</v>
      </c>
      <c r="FI93" s="61">
        <f t="shared" si="373"/>
        <v>2</v>
      </c>
      <c r="FJ93" s="80">
        <v>1.0</v>
      </c>
      <c r="FK93" s="80">
        <v>0.0</v>
      </c>
      <c r="FL93" s="80">
        <v>1.0</v>
      </c>
      <c r="FM93" s="61" t="str">
        <f t="shared" si="374"/>
        <v>0</v>
      </c>
      <c r="FN93" s="61">
        <f t="shared" ref="FN93:FN96" si="375">sum(FJ93:FM93)</f>
        <v>2</v>
      </c>
      <c r="FO93" s="80" t="s">
        <v>217</v>
      </c>
      <c r="FQ93" s="61" t="str">
        <f t="shared" si="370"/>
        <v/>
      </c>
      <c r="FR93" s="80" t="s">
        <v>217</v>
      </c>
      <c r="FT93" s="61" t="str">
        <f t="shared" si="371"/>
        <v/>
      </c>
      <c r="FU93" s="61" t="str">
        <f t="shared" si="372"/>
        <v/>
      </c>
      <c r="FV93" s="74"/>
      <c r="FW93" s="80" t="s">
        <v>217</v>
      </c>
      <c r="GJ93" s="80" t="s">
        <v>217</v>
      </c>
      <c r="GP93" s="116"/>
      <c r="GT93" s="80" t="s">
        <v>217</v>
      </c>
      <c r="GU93" s="61" t="str">
        <f t="shared" si="36"/>
        <v/>
      </c>
      <c r="GV93" s="61" t="str">
        <f t="shared" si="37"/>
        <v/>
      </c>
      <c r="GW93" s="61" t="str">
        <f t="shared" si="38"/>
        <v/>
      </c>
      <c r="GX93" s="61" t="str">
        <f t="shared" si="39"/>
        <v/>
      </c>
      <c r="GY93" s="61" t="str">
        <f t="shared" si="40"/>
        <v/>
      </c>
      <c r="GZ93" s="61" t="str">
        <f t="shared" si="41"/>
        <v/>
      </c>
      <c r="HA93" s="61" t="str">
        <f t="shared" si="42"/>
        <v/>
      </c>
      <c r="HB93" s="61" t="str">
        <f t="shared" si="43"/>
        <v/>
      </c>
      <c r="HC93" s="61" t="str">
        <f t="shared" si="44"/>
        <v/>
      </c>
      <c r="HD93" s="61" t="str">
        <f t="shared" si="45"/>
        <v>x</v>
      </c>
      <c r="HE93" s="61" t="str">
        <f t="shared" si="46"/>
        <v/>
      </c>
      <c r="HF93" s="61" t="str">
        <f t="shared" si="47"/>
        <v/>
      </c>
      <c r="HG93" s="61" t="str">
        <f t="shared" si="48"/>
        <v/>
      </c>
      <c r="HH93" s="61" t="str">
        <f t="shared" si="49"/>
        <v/>
      </c>
      <c r="HI93" s="61" t="str">
        <f t="shared" si="50"/>
        <v/>
      </c>
      <c r="HJ93" s="61" t="str">
        <f t="shared" si="51"/>
        <v/>
      </c>
      <c r="HK93" s="61" t="str">
        <f t="shared" si="52"/>
        <v/>
      </c>
      <c r="HL93" s="61" t="str">
        <f t="shared" si="53"/>
        <v/>
      </c>
      <c r="HM93" s="61" t="str">
        <f t="shared" si="54"/>
        <v/>
      </c>
      <c r="HN93" s="61" t="str">
        <f t="shared" si="55"/>
        <v/>
      </c>
      <c r="HO93" s="61" t="str">
        <f t="shared" si="56"/>
        <v/>
      </c>
      <c r="HP93" s="61" t="str">
        <f t="shared" si="57"/>
        <v/>
      </c>
      <c r="HQ93" s="61" t="str">
        <f t="shared" si="58"/>
        <v/>
      </c>
      <c r="HR93" s="61" t="str">
        <f t="shared" si="59"/>
        <v/>
      </c>
      <c r="HS93" s="61" t="str">
        <f t="shared" si="60"/>
        <v/>
      </c>
      <c r="HT93" s="61" t="str">
        <f t="shared" si="61"/>
        <v/>
      </c>
      <c r="HU93" s="61" t="str">
        <f t="shared" si="62"/>
        <v/>
      </c>
      <c r="HV93" s="61" t="str">
        <f t="shared" si="63"/>
        <v/>
      </c>
      <c r="HW93" s="61" t="str">
        <f t="shared" si="64"/>
        <v/>
      </c>
      <c r="HX93" s="61" t="str">
        <f t="shared" si="65"/>
        <v/>
      </c>
      <c r="HY93" s="61" t="str">
        <f t="shared" si="66"/>
        <v/>
      </c>
      <c r="HZ93" s="61" t="str">
        <f t="shared" si="67"/>
        <v/>
      </c>
    </row>
    <row r="94" ht="15.0" customHeight="1">
      <c r="A94" s="49" t="s">
        <v>1214</v>
      </c>
      <c r="B94" s="80" t="s">
        <v>1215</v>
      </c>
      <c r="C94" s="113" t="s">
        <v>1216</v>
      </c>
      <c r="D94" s="80" t="s">
        <v>301</v>
      </c>
      <c r="E94" s="107">
        <f t="shared" si="3"/>
        <v>2</v>
      </c>
      <c r="F94" s="80" t="s">
        <v>209</v>
      </c>
      <c r="G94" s="80" t="s">
        <v>217</v>
      </c>
      <c r="H94" s="80">
        <v>2010.0</v>
      </c>
      <c r="I94" s="80" t="s">
        <v>217</v>
      </c>
      <c r="J94" s="80" t="s">
        <v>1217</v>
      </c>
      <c r="Q94" s="61" t="b">
        <f t="shared" si="261"/>
        <v>1</v>
      </c>
      <c r="R94" s="61" t="b">
        <f t="shared" ref="R94:R95" si="376">if(AVERAGE(S94:U94)&gt;=5, TRUE, FALSE)</f>
        <v>1</v>
      </c>
      <c r="S94" s="80">
        <v>7.0</v>
      </c>
      <c r="T94" s="80">
        <v>7.0</v>
      </c>
      <c r="U94" s="80">
        <v>7.0</v>
      </c>
      <c r="V94" s="61" t="b">
        <f t="shared" ref="V94:V95" si="377">if(AVERAGE(W94:Y94)&gt;=5, TRUE, FALSE)</f>
        <v>1</v>
      </c>
      <c r="W94" s="80">
        <v>7.0</v>
      </c>
      <c r="X94" s="80">
        <v>7.0</v>
      </c>
      <c r="Y94" s="80">
        <v>7.0</v>
      </c>
      <c r="Z94" s="10"/>
      <c r="AC94" s="127"/>
      <c r="AR94" s="74"/>
      <c r="AS94" s="74"/>
      <c r="AT94" s="74"/>
      <c r="AU94" s="74"/>
      <c r="AV94" s="74"/>
      <c r="AW94" s="73" t="s">
        <v>217</v>
      </c>
      <c r="AX94" s="74"/>
      <c r="AY94" s="74"/>
      <c r="AZ94" s="74"/>
      <c r="BA94" s="74"/>
      <c r="BB94" s="109" t="str">
        <f t="shared" si="106"/>
        <v/>
      </c>
      <c r="BC94" s="73" t="s">
        <v>217</v>
      </c>
      <c r="BD94" s="73" t="s">
        <v>217</v>
      </c>
      <c r="BE94" s="74"/>
      <c r="BF94" s="74"/>
      <c r="BG94" s="74"/>
      <c r="BH94" s="73" t="s">
        <v>217</v>
      </c>
      <c r="BI94" s="74"/>
      <c r="BJ94" s="74"/>
      <c r="BK94" s="74"/>
      <c r="BL94" s="73" t="s">
        <v>217</v>
      </c>
      <c r="BM94" s="74"/>
      <c r="BN94" s="74"/>
      <c r="BO94" s="74"/>
      <c r="BP94" s="73" t="s">
        <v>217</v>
      </c>
      <c r="BQ94" s="74"/>
      <c r="BR94" s="74"/>
      <c r="BS94" s="74"/>
      <c r="BT94" s="74"/>
      <c r="BU94" s="74"/>
      <c r="BV94" s="73" t="s">
        <v>217</v>
      </c>
      <c r="BW94" s="74"/>
      <c r="BX94" s="73" t="s">
        <v>217</v>
      </c>
      <c r="BY94" s="74"/>
      <c r="BZ94" s="74"/>
      <c r="CA94" s="73" t="s">
        <v>217</v>
      </c>
      <c r="CB94" s="74"/>
      <c r="CC94" s="73" t="s">
        <v>217</v>
      </c>
      <c r="CD94" s="74"/>
      <c r="CE94" s="74"/>
      <c r="CF94" s="74"/>
      <c r="CG94" s="73" t="s">
        <v>217</v>
      </c>
      <c r="CH94" s="74"/>
      <c r="CI94" s="110" t="str">
        <f t="shared" si="260"/>
        <v/>
      </c>
      <c r="CJ94" s="74"/>
      <c r="CK94" s="74"/>
      <c r="CL94" s="74"/>
      <c r="CM94" s="73" t="s">
        <v>217</v>
      </c>
      <c r="CN94" s="73" t="s">
        <v>217</v>
      </c>
      <c r="CO94" s="74"/>
      <c r="CP94" s="74"/>
      <c r="CQ94" s="74"/>
      <c r="CZ94" s="80" t="s">
        <v>217</v>
      </c>
      <c r="DF94" s="80" t="s">
        <v>217</v>
      </c>
      <c r="DG94" s="61">
        <f t="shared" si="108"/>
        <v>2</v>
      </c>
      <c r="DJ94" s="80" t="s">
        <v>217</v>
      </c>
      <c r="DO94" s="80" t="s">
        <v>217</v>
      </c>
      <c r="DP94" s="61" t="str">
        <f t="shared" si="109"/>
        <v/>
      </c>
      <c r="DQ94" s="61" t="str">
        <f t="shared" si="110"/>
        <v/>
      </c>
      <c r="DR94" s="61" t="str">
        <f t="shared" si="111"/>
        <v>FA</v>
      </c>
      <c r="DS94" s="74"/>
      <c r="DT94" s="74"/>
      <c r="DU94" s="74"/>
      <c r="DV94" s="73" t="s">
        <v>217</v>
      </c>
      <c r="DW94" s="74"/>
      <c r="DX94" s="74"/>
      <c r="DY94" s="110">
        <f t="shared" si="29"/>
        <v>1</v>
      </c>
      <c r="DZ94" s="110" t="str">
        <f t="shared" si="345"/>
        <v/>
      </c>
      <c r="EA94" s="73" t="s">
        <v>217</v>
      </c>
      <c r="EB94" s="74"/>
      <c r="EC94" s="74"/>
      <c r="ED94" s="74"/>
      <c r="EE94" s="110">
        <f t="shared" si="30"/>
        <v>1</v>
      </c>
      <c r="EF94" s="110" t="str">
        <f t="shared" si="70"/>
        <v>x</v>
      </c>
      <c r="EG94" s="61" t="str">
        <f t="shared" si="31"/>
        <v/>
      </c>
      <c r="EI94" s="80" t="s">
        <v>1218</v>
      </c>
      <c r="EJ94" s="74"/>
      <c r="EK94" s="74"/>
      <c r="EL94" s="74"/>
      <c r="EM94" s="74"/>
      <c r="ES94" s="80" t="s">
        <v>1219</v>
      </c>
      <c r="ET94" s="73">
        <v>2.0</v>
      </c>
      <c r="EU94" s="74"/>
      <c r="EV94" s="74"/>
      <c r="EW94" s="74"/>
      <c r="EX94" s="74"/>
      <c r="EZ94" s="80" t="s">
        <v>1220</v>
      </c>
      <c r="FE94" s="97">
        <f t="shared" si="32"/>
        <v>0</v>
      </c>
      <c r="FF94" s="80">
        <v>1.0</v>
      </c>
      <c r="FG94" s="80">
        <v>1.0</v>
      </c>
      <c r="FH94" s="80">
        <v>0.5</v>
      </c>
      <c r="FI94" s="61">
        <f t="shared" si="373"/>
        <v>2.5</v>
      </c>
      <c r="FJ94" s="80">
        <v>1.0</v>
      </c>
      <c r="FK94" s="80">
        <v>0.0</v>
      </c>
      <c r="FL94" s="80" t="s">
        <v>189</v>
      </c>
      <c r="FM94" s="61" t="str">
        <f t="shared" si="374"/>
        <v>0</v>
      </c>
      <c r="FN94" s="61">
        <f t="shared" si="375"/>
        <v>1</v>
      </c>
      <c r="FP94" s="80" t="s">
        <v>217</v>
      </c>
      <c r="FS94" s="80" t="s">
        <v>217</v>
      </c>
      <c r="FV94" s="73" t="s">
        <v>217</v>
      </c>
      <c r="FW94" s="80" t="s">
        <v>217</v>
      </c>
      <c r="FX94" s="80" t="s">
        <v>217</v>
      </c>
      <c r="FY94" s="80" t="s">
        <v>217</v>
      </c>
      <c r="GC94" s="80" t="s">
        <v>217</v>
      </c>
      <c r="GL94" s="80" t="s">
        <v>1221</v>
      </c>
      <c r="GN94" s="80">
        <v>9.0</v>
      </c>
      <c r="GO94" s="80" t="s">
        <v>1222</v>
      </c>
      <c r="GR94" s="80" t="s">
        <v>217</v>
      </c>
      <c r="GT94" s="80" t="s">
        <v>217</v>
      </c>
      <c r="GU94" s="61" t="str">
        <f t="shared" si="36"/>
        <v/>
      </c>
      <c r="GV94" s="61" t="str">
        <f t="shared" si="37"/>
        <v/>
      </c>
      <c r="GW94" s="61" t="str">
        <f t="shared" si="38"/>
        <v/>
      </c>
      <c r="GX94" s="61" t="str">
        <f t="shared" si="39"/>
        <v/>
      </c>
      <c r="GY94" s="61" t="str">
        <f t="shared" si="40"/>
        <v>x</v>
      </c>
      <c r="GZ94" s="61" t="str">
        <f t="shared" si="41"/>
        <v/>
      </c>
      <c r="HA94" s="61" t="str">
        <f t="shared" si="42"/>
        <v/>
      </c>
      <c r="HB94" s="61" t="str">
        <f t="shared" si="43"/>
        <v/>
      </c>
      <c r="HC94" s="61" t="str">
        <f t="shared" si="44"/>
        <v/>
      </c>
      <c r="HD94" s="61" t="str">
        <f t="shared" si="45"/>
        <v/>
      </c>
      <c r="HE94" s="61" t="str">
        <f t="shared" si="46"/>
        <v>x</v>
      </c>
      <c r="HF94" s="61" t="str">
        <f t="shared" si="47"/>
        <v/>
      </c>
      <c r="HG94" s="61" t="str">
        <f t="shared" si="48"/>
        <v/>
      </c>
      <c r="HH94" s="61" t="str">
        <f t="shared" si="49"/>
        <v/>
      </c>
      <c r="HI94" s="61" t="str">
        <f t="shared" si="50"/>
        <v/>
      </c>
      <c r="HJ94" s="61" t="str">
        <f t="shared" si="51"/>
        <v>x</v>
      </c>
      <c r="HK94" s="61" t="str">
        <f t="shared" si="52"/>
        <v/>
      </c>
      <c r="HL94" s="61" t="str">
        <f t="shared" si="53"/>
        <v/>
      </c>
      <c r="HM94" s="61" t="str">
        <f t="shared" si="54"/>
        <v/>
      </c>
      <c r="HN94" s="61" t="str">
        <f t="shared" si="55"/>
        <v/>
      </c>
      <c r="HO94" s="61" t="str">
        <f t="shared" si="56"/>
        <v/>
      </c>
      <c r="HP94" s="61" t="str">
        <f t="shared" si="57"/>
        <v>x</v>
      </c>
      <c r="HQ94" s="61" t="str">
        <f t="shared" si="58"/>
        <v/>
      </c>
      <c r="HR94" s="61" t="str">
        <f t="shared" si="59"/>
        <v/>
      </c>
      <c r="HS94" s="61" t="str">
        <f t="shared" si="60"/>
        <v/>
      </c>
      <c r="HT94" s="61" t="str">
        <f t="shared" si="61"/>
        <v/>
      </c>
      <c r="HU94" s="61" t="str">
        <f t="shared" si="62"/>
        <v/>
      </c>
      <c r="HV94" s="61" t="str">
        <f t="shared" si="63"/>
        <v/>
      </c>
      <c r="HW94" s="61" t="str">
        <f t="shared" si="64"/>
        <v/>
      </c>
      <c r="HX94" s="61" t="str">
        <f t="shared" si="65"/>
        <v/>
      </c>
      <c r="HY94" s="61" t="str">
        <f t="shared" si="66"/>
        <v/>
      </c>
      <c r="HZ94" s="61" t="str">
        <f t="shared" si="67"/>
        <v/>
      </c>
    </row>
    <row r="95" ht="15.0" customHeight="1">
      <c r="A95" s="49" t="s">
        <v>1223</v>
      </c>
      <c r="B95" s="87" t="s">
        <v>1224</v>
      </c>
      <c r="C95" s="126" t="s">
        <v>1225</v>
      </c>
      <c r="D95" s="80" t="s">
        <v>301</v>
      </c>
      <c r="E95" s="107">
        <f t="shared" si="3"/>
        <v>2</v>
      </c>
      <c r="F95" s="80" t="s">
        <v>209</v>
      </c>
      <c r="G95" s="80" t="s">
        <v>217</v>
      </c>
      <c r="H95" s="80">
        <v>2013.0</v>
      </c>
      <c r="J95" s="80" t="s">
        <v>1226</v>
      </c>
      <c r="Q95" s="61" t="b">
        <f t="shared" si="261"/>
        <v>1</v>
      </c>
      <c r="R95" s="61" t="b">
        <f t="shared" si="376"/>
        <v>1</v>
      </c>
      <c r="S95" s="80">
        <v>8.0</v>
      </c>
      <c r="T95" s="80">
        <v>7.0</v>
      </c>
      <c r="U95" s="80">
        <v>6.0</v>
      </c>
      <c r="V95" s="61" t="b">
        <f t="shared" si="377"/>
        <v>1</v>
      </c>
      <c r="W95" s="80">
        <v>7.0</v>
      </c>
      <c r="X95" s="80">
        <v>7.0</v>
      </c>
      <c r="Y95" s="80">
        <v>5.0</v>
      </c>
      <c r="Z95" s="115" t="s">
        <v>1227</v>
      </c>
      <c r="AC95" s="127"/>
      <c r="AR95" s="74"/>
      <c r="AS95" s="74"/>
      <c r="AT95" s="74"/>
      <c r="AU95" s="74"/>
      <c r="AV95" s="73" t="s">
        <v>217</v>
      </c>
      <c r="AW95" s="74"/>
      <c r="AX95" s="74"/>
      <c r="AY95" s="74"/>
      <c r="AZ95" s="74"/>
      <c r="BA95" s="74"/>
      <c r="BB95" s="109" t="str">
        <f t="shared" si="106"/>
        <v/>
      </c>
      <c r="BC95" s="73" t="s">
        <v>217</v>
      </c>
      <c r="BD95" s="73" t="s">
        <v>217</v>
      </c>
      <c r="BE95" s="73" t="s">
        <v>217</v>
      </c>
      <c r="BF95" s="74"/>
      <c r="BG95" s="74"/>
      <c r="BH95" s="74"/>
      <c r="BI95" s="74"/>
      <c r="BJ95" s="73" t="s">
        <v>217</v>
      </c>
      <c r="BK95" s="74"/>
      <c r="BL95" s="74"/>
      <c r="BM95" s="74"/>
      <c r="BN95" s="73" t="s">
        <v>218</v>
      </c>
      <c r="BO95" s="74"/>
      <c r="BP95" s="73" t="s">
        <v>217</v>
      </c>
      <c r="BQ95" s="74"/>
      <c r="BR95" s="74"/>
      <c r="BS95" s="74"/>
      <c r="BT95" s="74"/>
      <c r="BU95" s="74"/>
      <c r="BV95" s="73" t="s">
        <v>217</v>
      </c>
      <c r="BW95" s="74"/>
      <c r="BX95" s="73" t="s">
        <v>217</v>
      </c>
      <c r="BY95" s="73" t="s">
        <v>217</v>
      </c>
      <c r="BZ95" s="74"/>
      <c r="CA95" s="73" t="s">
        <v>217</v>
      </c>
      <c r="CB95" s="73" t="s">
        <v>217</v>
      </c>
      <c r="CC95" s="73" t="s">
        <v>217</v>
      </c>
      <c r="CD95" s="74"/>
      <c r="CE95" s="74"/>
      <c r="CF95" s="74"/>
      <c r="CG95" s="73" t="s">
        <v>217</v>
      </c>
      <c r="CH95" s="74"/>
      <c r="CI95" s="110" t="str">
        <f t="shared" si="260"/>
        <v/>
      </c>
      <c r="CJ95" s="74"/>
      <c r="CK95" s="74"/>
      <c r="CL95" s="74"/>
      <c r="CM95" s="73" t="s">
        <v>217</v>
      </c>
      <c r="CN95" s="74"/>
      <c r="CO95" s="74"/>
      <c r="CP95" s="74"/>
      <c r="CQ95" s="74"/>
      <c r="CS95" s="80" t="s">
        <v>217</v>
      </c>
      <c r="CY95" s="80" t="s">
        <v>217</v>
      </c>
      <c r="CZ95" s="80" t="s">
        <v>217</v>
      </c>
      <c r="DG95" s="61">
        <f t="shared" si="108"/>
        <v>2</v>
      </c>
      <c r="DH95" s="80" t="s">
        <v>217</v>
      </c>
      <c r="DJ95" s="80" t="s">
        <v>217</v>
      </c>
      <c r="DK95" s="80" t="s">
        <v>217</v>
      </c>
      <c r="DO95" s="80" t="s">
        <v>217</v>
      </c>
      <c r="DP95" s="61" t="str">
        <f t="shared" si="109"/>
        <v/>
      </c>
      <c r="DQ95" s="61" t="str">
        <f t="shared" si="110"/>
        <v/>
      </c>
      <c r="DR95" s="61" t="str">
        <f t="shared" si="111"/>
        <v>FA</v>
      </c>
      <c r="DS95" s="73" t="s">
        <v>268</v>
      </c>
      <c r="DT95" s="74"/>
      <c r="DU95" s="74"/>
      <c r="DV95" s="74"/>
      <c r="DW95" s="74"/>
      <c r="DX95" s="74"/>
      <c r="DY95" s="110">
        <f t="shared" si="29"/>
        <v>1</v>
      </c>
      <c r="DZ95" s="110" t="str">
        <f t="shared" si="345"/>
        <v/>
      </c>
      <c r="EA95" s="74"/>
      <c r="EB95" s="74"/>
      <c r="EC95" s="74"/>
      <c r="ED95" s="74"/>
      <c r="EE95" s="110">
        <f t="shared" si="30"/>
        <v>0</v>
      </c>
      <c r="EF95" s="110" t="str">
        <f t="shared" si="70"/>
        <v/>
      </c>
      <c r="EG95" s="61" t="str">
        <f t="shared" si="31"/>
        <v/>
      </c>
      <c r="EI95" s="80" t="s">
        <v>1228</v>
      </c>
      <c r="EJ95" s="74"/>
      <c r="EK95" s="74"/>
      <c r="EL95" s="74"/>
      <c r="EM95" s="73" t="s">
        <v>217</v>
      </c>
      <c r="ES95" s="80" t="s">
        <v>1229</v>
      </c>
      <c r="ET95" s="73">
        <v>0.0</v>
      </c>
      <c r="EU95" s="74"/>
      <c r="EV95" s="74"/>
      <c r="EW95" s="74"/>
      <c r="EX95" s="74"/>
      <c r="EZ95" s="80" t="s">
        <v>1230</v>
      </c>
      <c r="FA95" s="80" t="s">
        <v>1231</v>
      </c>
      <c r="FB95" s="80" t="s">
        <v>1232</v>
      </c>
      <c r="FD95" s="80" t="s">
        <v>256</v>
      </c>
      <c r="FE95" s="97">
        <f t="shared" si="32"/>
        <v>3</v>
      </c>
      <c r="FF95" s="80">
        <v>1.0</v>
      </c>
      <c r="FG95" s="80">
        <v>0.5</v>
      </c>
      <c r="FH95" s="80">
        <v>1.0</v>
      </c>
      <c r="FI95" s="61">
        <f t="shared" si="373"/>
        <v>2.5</v>
      </c>
      <c r="FJ95" s="80">
        <v>0.0</v>
      </c>
      <c r="FK95" s="80">
        <v>0.0</v>
      </c>
      <c r="FL95" s="80" t="s">
        <v>189</v>
      </c>
      <c r="FM95" s="61" t="str">
        <f t="shared" si="374"/>
        <v>1</v>
      </c>
      <c r="FN95" s="61">
        <f t="shared" si="375"/>
        <v>0</v>
      </c>
      <c r="FP95" s="80" t="s">
        <v>217</v>
      </c>
      <c r="FS95" s="80" t="s">
        <v>217</v>
      </c>
      <c r="FV95" s="74"/>
      <c r="FW95" s="80" t="s">
        <v>217</v>
      </c>
      <c r="FY95" s="80" t="s">
        <v>217</v>
      </c>
      <c r="GB95" s="80" t="s">
        <v>1233</v>
      </c>
      <c r="GI95" s="80" t="s">
        <v>217</v>
      </c>
      <c r="GL95" s="80" t="s">
        <v>1234</v>
      </c>
      <c r="GM95" s="80" t="s">
        <v>217</v>
      </c>
      <c r="GN95" s="80">
        <v>5.0</v>
      </c>
      <c r="GO95" s="80" t="s">
        <v>1235</v>
      </c>
      <c r="GP95" s="80">
        <v>102679.0</v>
      </c>
      <c r="GS95" s="80" t="s">
        <v>217</v>
      </c>
      <c r="GU95" s="61" t="str">
        <f t="shared" si="36"/>
        <v/>
      </c>
      <c r="GV95" s="61" t="str">
        <f t="shared" si="37"/>
        <v/>
      </c>
      <c r="GW95" s="61" t="str">
        <f t="shared" si="38"/>
        <v/>
      </c>
      <c r="GX95" s="61" t="str">
        <f t="shared" si="39"/>
        <v>x</v>
      </c>
      <c r="GY95" s="61" t="str">
        <f t="shared" si="40"/>
        <v>x</v>
      </c>
      <c r="GZ95" s="61" t="str">
        <f t="shared" si="41"/>
        <v/>
      </c>
      <c r="HA95" s="61" t="str">
        <f t="shared" si="42"/>
        <v/>
      </c>
      <c r="HB95" s="61" t="str">
        <f t="shared" si="43"/>
        <v/>
      </c>
      <c r="HC95" s="61" t="str">
        <f t="shared" si="44"/>
        <v/>
      </c>
      <c r="HD95" s="61" t="str">
        <f t="shared" si="45"/>
        <v/>
      </c>
      <c r="HE95" s="61" t="str">
        <f t="shared" si="46"/>
        <v/>
      </c>
      <c r="HF95" s="61" t="str">
        <f t="shared" si="47"/>
        <v/>
      </c>
      <c r="HG95" s="61" t="str">
        <f t="shared" si="48"/>
        <v/>
      </c>
      <c r="HH95" s="61" t="str">
        <f t="shared" si="49"/>
        <v/>
      </c>
      <c r="HI95" s="61" t="str">
        <f t="shared" si="50"/>
        <v>x</v>
      </c>
      <c r="HJ95" s="61" t="str">
        <f t="shared" si="51"/>
        <v>x</v>
      </c>
      <c r="HK95" s="61" t="str">
        <f t="shared" si="52"/>
        <v/>
      </c>
      <c r="HL95" s="61" t="str">
        <f t="shared" si="53"/>
        <v/>
      </c>
      <c r="HM95" s="61" t="str">
        <f t="shared" si="54"/>
        <v/>
      </c>
      <c r="HN95" s="61" t="str">
        <f t="shared" si="55"/>
        <v/>
      </c>
      <c r="HO95" s="61" t="str">
        <f t="shared" si="56"/>
        <v/>
      </c>
      <c r="HP95" s="61" t="str">
        <f t="shared" si="57"/>
        <v/>
      </c>
      <c r="HQ95" s="61" t="str">
        <f t="shared" si="58"/>
        <v/>
      </c>
      <c r="HR95" s="61" t="str">
        <f t="shared" si="59"/>
        <v/>
      </c>
      <c r="HS95" s="61" t="str">
        <f t="shared" si="60"/>
        <v/>
      </c>
      <c r="HT95" s="61" t="str">
        <f t="shared" si="61"/>
        <v/>
      </c>
      <c r="HU95" s="61" t="str">
        <f t="shared" si="62"/>
        <v>x</v>
      </c>
      <c r="HV95" s="61" t="str">
        <f t="shared" si="63"/>
        <v/>
      </c>
      <c r="HW95" s="61" t="str">
        <f t="shared" si="64"/>
        <v/>
      </c>
      <c r="HX95" s="61" t="str">
        <f t="shared" si="65"/>
        <v/>
      </c>
      <c r="HY95" s="61" t="str">
        <f t="shared" si="66"/>
        <v/>
      </c>
      <c r="HZ95" s="61" t="str">
        <f t="shared" si="67"/>
        <v/>
      </c>
    </row>
    <row r="96" ht="1.5" customHeight="1">
      <c r="A96" s="49" t="s">
        <v>1236</v>
      </c>
      <c r="B96" s="80" t="s">
        <v>1237</v>
      </c>
      <c r="C96" s="113" t="s">
        <v>1238</v>
      </c>
      <c r="D96" s="80" t="s">
        <v>210</v>
      </c>
      <c r="E96" s="107">
        <f t="shared" si="3"/>
        <v>2</v>
      </c>
      <c r="F96" s="80" t="s">
        <v>245</v>
      </c>
      <c r="G96" s="80" t="s">
        <v>211</v>
      </c>
      <c r="H96" s="80">
        <v>2008.0</v>
      </c>
      <c r="J96" s="80" t="s">
        <v>1239</v>
      </c>
      <c r="K96" s="61" t="str">
        <f t="shared" ref="K96:K97" si="378">if(AND(D96="Aysu", F96="Vahid"), 1, "")</f>
        <v/>
      </c>
      <c r="L96" s="61" t="str">
        <f t="shared" ref="L96:L97" si="379">if(AND(D96="Aysu", F96="Ali"), 1, "")</f>
        <v/>
      </c>
      <c r="M96" s="61" t="str">
        <f t="shared" ref="M96:M97" si="380">if(AND(D96="Vahid", F96="Aysu"), 1, "")</f>
        <v/>
      </c>
      <c r="N96" s="61">
        <f t="shared" ref="N96:N97" si="381">if(AND(D96="Vahid", F96="Ali"), 1, "")</f>
        <v>1</v>
      </c>
      <c r="O96" s="61" t="str">
        <f t="shared" ref="O96:O97" si="382">if(AND(D96="Ali", F96="Vahid"), 1, "")</f>
        <v/>
      </c>
      <c r="P96" s="61" t="str">
        <f t="shared" ref="P96:P97" si="383">if(AND(D96="Ali", F96="Aysu"), 1, "")</f>
        <v/>
      </c>
      <c r="Q96" s="61" t="b">
        <f t="shared" si="261"/>
        <v>1</v>
      </c>
      <c r="R96" s="61" t="b">
        <f t="shared" ref="R96:R97" si="384">SUM(S96:U96)&gt;=2</f>
        <v>1</v>
      </c>
      <c r="S96" s="80">
        <v>1.0</v>
      </c>
      <c r="T96" s="80">
        <v>1.0</v>
      </c>
      <c r="U96" s="80">
        <v>1.0</v>
      </c>
      <c r="V96" s="61" t="b">
        <f t="shared" ref="V96:V97" si="385">SUM(W96:Y96)&gt;=2</f>
        <v>1</v>
      </c>
      <c r="W96" s="80">
        <v>0.0</v>
      </c>
      <c r="X96" s="80">
        <v>1.0</v>
      </c>
      <c r="Y96" s="80">
        <v>1.0</v>
      </c>
      <c r="Z96" s="80" t="s">
        <v>1240</v>
      </c>
      <c r="AA96" s="61" t="str">
        <f t="shared" ref="AA96:AA97" si="386">iferror(if(find("Pollock", AC96)&gt;0,concat(J96,", "), ""))</f>
        <v>Sprenkle:taic08, </v>
      </c>
      <c r="AB96" s="61" t="str">
        <f t="shared" ref="AB96:AB97" si="387">if(GI96="x",concat(J96,", "), "")</f>
        <v>Sprenkle:taic08, </v>
      </c>
      <c r="AC96" s="114" t="s">
        <v>1241</v>
      </c>
      <c r="AD96" s="80" t="s">
        <v>266</v>
      </c>
      <c r="AF96" s="61">
        <f>countif('Charts-SLR'!A:A,AD96)</f>
        <v>1</v>
      </c>
      <c r="AG96" s="80" t="s">
        <v>1242</v>
      </c>
      <c r="AH96" s="61">
        <f t="shared" ref="AH96:AH97" si="388">countif({},AG96)</f>
        <v>0</v>
      </c>
      <c r="AI96" s="80" t="s">
        <v>250</v>
      </c>
      <c r="AJ96" s="80">
        <v>2.0</v>
      </c>
      <c r="AK96" s="108">
        <f t="shared" ref="AK96:AK97" si="389">AJ96/(2012-H96)</f>
        <v>0.5</v>
      </c>
      <c r="AL96" s="61" t="str">
        <f t="shared" ref="AL96:AL97" si="390">if(AI96="J",AJ96,"")</f>
        <v/>
      </c>
      <c r="AM96" s="61">
        <f t="shared" ref="AM96:AM97" si="391">if(AI96="C",AJ96,"")</f>
        <v>2</v>
      </c>
      <c r="AN96" s="61" t="str">
        <f t="shared" ref="AN96:AN97" si="392">if(AI96="W", AJ96,"")</f>
        <v/>
      </c>
      <c r="AO96" s="61" t="str">
        <f t="shared" ref="AO96:AO97" si="393">if(AI96="M",AJ96,"")</f>
        <v/>
      </c>
      <c r="AP96" s="61" t="str">
        <f t="shared" ref="AP96:AP97" si="394">if(AI96="S",AJ96,"")</f>
        <v/>
      </c>
      <c r="AQ96" s="61" t="str">
        <f t="shared" ref="AQ96:AQ97" si="395">if(BH96="x",concat(J96,", "), "")</f>
        <v/>
      </c>
      <c r="AR96" s="74"/>
      <c r="AS96" s="74"/>
      <c r="AT96" s="74"/>
      <c r="AU96" s="74"/>
      <c r="AV96" s="74"/>
      <c r="AW96" s="74"/>
      <c r="AX96" s="74"/>
      <c r="AY96" s="73" t="s">
        <v>217</v>
      </c>
      <c r="AZ96" s="74"/>
      <c r="BA96" s="74"/>
      <c r="BB96" s="109" t="str">
        <f t="shared" si="106"/>
        <v/>
      </c>
      <c r="BC96" s="74"/>
      <c r="BD96" s="73" t="s">
        <v>217</v>
      </c>
      <c r="BE96" s="74"/>
      <c r="BF96" s="74"/>
      <c r="BG96" s="74"/>
      <c r="BH96" s="74"/>
      <c r="BI96" s="110">
        <f t="shared" ref="BI96:BI97" si="396">COUNTA(BC96:BH96)</f>
        <v>1</v>
      </c>
      <c r="BJ96" s="74"/>
      <c r="BK96" s="74"/>
      <c r="BL96" s="74"/>
      <c r="BM96" s="74"/>
      <c r="BN96" s="74"/>
      <c r="BO96" s="74"/>
      <c r="BP96" s="73" t="s">
        <v>217</v>
      </c>
      <c r="BQ96" s="74"/>
      <c r="BR96" s="74"/>
      <c r="BS96" s="74"/>
      <c r="BT96" s="74"/>
      <c r="BU96" s="74"/>
      <c r="BV96" s="73" t="s">
        <v>217</v>
      </c>
      <c r="BW96" s="74"/>
      <c r="BX96" s="74"/>
      <c r="BY96" s="74"/>
      <c r="BZ96" s="74"/>
      <c r="CA96" s="74"/>
      <c r="CB96" s="74"/>
      <c r="CC96" s="73" t="s">
        <v>217</v>
      </c>
      <c r="CD96" s="74"/>
      <c r="CE96" s="74"/>
      <c r="CF96" s="74"/>
      <c r="CG96" s="74"/>
      <c r="CH96" s="73" t="s">
        <v>217</v>
      </c>
      <c r="CI96" s="111" t="str">
        <f t="shared" si="260"/>
        <v/>
      </c>
      <c r="CJ96" s="110">
        <f t="shared" ref="CJ96:CJ97" si="397">if(CG96="x", 1, if(CH96="x", 2, 3))</f>
        <v>2</v>
      </c>
      <c r="CK96" s="74"/>
      <c r="CL96" s="74"/>
      <c r="CM96" s="73" t="s">
        <v>217</v>
      </c>
      <c r="CN96" s="73" t="s">
        <v>217</v>
      </c>
      <c r="CO96" s="74"/>
      <c r="CP96" s="74"/>
      <c r="CQ96" s="74"/>
      <c r="CX96" s="80" t="s">
        <v>217</v>
      </c>
      <c r="DG96" s="61">
        <f t="shared" si="108"/>
        <v>1</v>
      </c>
      <c r="DJ96" s="80" t="s">
        <v>217</v>
      </c>
      <c r="DM96" s="61">
        <f t="shared" ref="DM96:DM97" si="398">counta(DH96:DL96)</f>
        <v>1</v>
      </c>
      <c r="DN96" s="80" t="s">
        <v>217</v>
      </c>
      <c r="DO96" s="80" t="s">
        <v>217</v>
      </c>
      <c r="DP96" s="61" t="str">
        <f t="shared" si="109"/>
        <v>both</v>
      </c>
      <c r="DQ96" s="61" t="str">
        <f t="shared" si="110"/>
        <v/>
      </c>
      <c r="DR96" s="61" t="str">
        <f t="shared" si="111"/>
        <v/>
      </c>
      <c r="DS96" s="73" t="s">
        <v>268</v>
      </c>
      <c r="DT96" s="74"/>
      <c r="DU96" s="74"/>
      <c r="DV96" s="74"/>
      <c r="DW96" s="73" t="s">
        <v>217</v>
      </c>
      <c r="DY96" s="110">
        <f t="shared" si="29"/>
        <v>2</v>
      </c>
      <c r="DZ96" s="110" t="str">
        <f t="shared" si="345"/>
        <v>x</v>
      </c>
      <c r="EA96" s="73" t="s">
        <v>217</v>
      </c>
      <c r="EB96" s="73" t="s">
        <v>217</v>
      </c>
      <c r="EC96" s="74"/>
      <c r="ED96" s="74"/>
      <c r="EE96" s="110">
        <f t="shared" si="30"/>
        <v>2</v>
      </c>
      <c r="EF96" s="110" t="str">
        <f t="shared" si="70"/>
        <v>x</v>
      </c>
      <c r="EG96" s="61" t="str">
        <f t="shared" si="31"/>
        <v/>
      </c>
      <c r="EI96" s="80" t="s">
        <v>1243</v>
      </c>
      <c r="EJ96" s="74"/>
      <c r="EK96" s="74"/>
      <c r="EL96" s="74"/>
      <c r="EM96" s="74"/>
      <c r="EN96" s="80" t="s">
        <v>217</v>
      </c>
      <c r="ES96" s="80" t="s">
        <v>1244</v>
      </c>
      <c r="ET96" s="73">
        <v>0.0</v>
      </c>
      <c r="EU96" s="74"/>
      <c r="EV96" s="74"/>
      <c r="EW96" s="74"/>
      <c r="EX96" s="74"/>
      <c r="EZ96" s="80" t="s">
        <v>1245</v>
      </c>
      <c r="FE96" s="97">
        <f t="shared" si="32"/>
        <v>0</v>
      </c>
      <c r="FF96" s="80">
        <v>0.5</v>
      </c>
      <c r="FG96" s="80">
        <v>0.5</v>
      </c>
      <c r="FH96" s="80">
        <v>0.0</v>
      </c>
      <c r="FI96" s="61">
        <f t="shared" si="373"/>
        <v>1</v>
      </c>
      <c r="FJ96" s="80">
        <v>0.0</v>
      </c>
      <c r="FK96" s="80">
        <v>0.0</v>
      </c>
      <c r="FL96" s="80" t="s">
        <v>189</v>
      </c>
      <c r="FM96" s="61" t="str">
        <f t="shared" si="374"/>
        <v>1</v>
      </c>
      <c r="FN96" s="61">
        <f t="shared" si="375"/>
        <v>0</v>
      </c>
      <c r="FP96" s="80" t="s">
        <v>217</v>
      </c>
      <c r="FQ96" s="61" t="str">
        <f t="shared" ref="FQ96:FQ97" si="399">if(and(FO96="",FP96=""), "both", "")</f>
        <v/>
      </c>
      <c r="FR96" s="80" t="s">
        <v>217</v>
      </c>
      <c r="FT96" s="61" t="str">
        <f t="shared" ref="FT96:FT97" si="400">if(and(FS96="x",FR96="x"), "both", "")</f>
        <v/>
      </c>
      <c r="FU96" s="61" t="str">
        <f t="shared" ref="FU96:FU97" si="401">if(and(FR96="",FS96=""), "none", "")</f>
        <v/>
      </c>
      <c r="FV96" s="74"/>
      <c r="FW96" s="80" t="s">
        <v>217</v>
      </c>
      <c r="GI96" s="80" t="s">
        <v>217</v>
      </c>
      <c r="GL96" s="80" t="s">
        <v>1246</v>
      </c>
      <c r="GM96" s="80" t="s">
        <v>217</v>
      </c>
      <c r="GN96" s="80">
        <v>4.0</v>
      </c>
      <c r="GO96" s="80" t="s">
        <v>1202</v>
      </c>
      <c r="GP96" s="112">
        <v>79466.0</v>
      </c>
      <c r="GS96" s="80" t="s">
        <v>217</v>
      </c>
      <c r="GT96" s="80" t="s">
        <v>217</v>
      </c>
      <c r="GU96" s="61" t="str">
        <f t="shared" si="36"/>
        <v/>
      </c>
      <c r="GV96" s="61" t="str">
        <f t="shared" si="37"/>
        <v/>
      </c>
      <c r="GW96" s="61" t="str">
        <f t="shared" si="38"/>
        <v/>
      </c>
      <c r="GX96" s="61" t="str">
        <f t="shared" si="39"/>
        <v/>
      </c>
      <c r="GY96" s="61" t="str">
        <f t="shared" si="40"/>
        <v/>
      </c>
      <c r="GZ96" s="61" t="str">
        <f t="shared" si="41"/>
        <v/>
      </c>
      <c r="HA96" s="61" t="str">
        <f t="shared" si="42"/>
        <v/>
      </c>
      <c r="HB96" s="61" t="str">
        <f t="shared" si="43"/>
        <v/>
      </c>
      <c r="HC96" s="61" t="str">
        <f t="shared" si="44"/>
        <v/>
      </c>
      <c r="HD96" s="61" t="str">
        <f t="shared" si="45"/>
        <v/>
      </c>
      <c r="HE96" s="61" t="str">
        <f t="shared" si="46"/>
        <v/>
      </c>
      <c r="HF96" s="61" t="str">
        <f t="shared" si="47"/>
        <v/>
      </c>
      <c r="HG96" s="61" t="str">
        <f t="shared" si="48"/>
        <v/>
      </c>
      <c r="HH96" s="61" t="str">
        <f t="shared" si="49"/>
        <v/>
      </c>
      <c r="HI96" s="61" t="str">
        <f t="shared" si="50"/>
        <v/>
      </c>
      <c r="HJ96" s="61" t="str">
        <f t="shared" si="51"/>
        <v/>
      </c>
      <c r="HK96" s="61" t="str">
        <f t="shared" si="52"/>
        <v/>
      </c>
      <c r="HL96" s="61" t="str">
        <f t="shared" si="53"/>
        <v/>
      </c>
      <c r="HM96" s="61" t="str">
        <f t="shared" si="54"/>
        <v/>
      </c>
      <c r="HN96" s="61" t="str">
        <f t="shared" si="55"/>
        <v/>
      </c>
      <c r="HO96" s="61" t="str">
        <f t="shared" si="56"/>
        <v/>
      </c>
      <c r="HP96" s="61" t="str">
        <f t="shared" si="57"/>
        <v/>
      </c>
      <c r="HQ96" s="61" t="str">
        <f t="shared" si="58"/>
        <v/>
      </c>
      <c r="HR96" s="61" t="str">
        <f t="shared" si="59"/>
        <v/>
      </c>
      <c r="HS96" s="61" t="str">
        <f t="shared" si="60"/>
        <v/>
      </c>
      <c r="HT96" s="61" t="str">
        <f t="shared" si="61"/>
        <v/>
      </c>
      <c r="HU96" s="61" t="str">
        <f t="shared" si="62"/>
        <v/>
      </c>
      <c r="HV96" s="61" t="str">
        <f t="shared" si="63"/>
        <v/>
      </c>
      <c r="HW96" s="61" t="str">
        <f t="shared" si="64"/>
        <v/>
      </c>
      <c r="HX96" s="61" t="str">
        <f t="shared" si="65"/>
        <v>x</v>
      </c>
      <c r="HY96" s="61" t="str">
        <f t="shared" si="66"/>
        <v/>
      </c>
      <c r="HZ96" s="61" t="str">
        <f t="shared" si="67"/>
        <v/>
      </c>
    </row>
    <row r="97" ht="1.5" customHeight="1">
      <c r="A97" s="49" t="s">
        <v>1247</v>
      </c>
      <c r="B97" s="95" t="s">
        <v>1248</v>
      </c>
      <c r="C97" s="117" t="s">
        <v>1249</v>
      </c>
      <c r="D97" s="95" t="s">
        <v>210</v>
      </c>
      <c r="E97" s="96" t="str">
        <f t="shared" si="3"/>
        <v/>
      </c>
      <c r="F97" s="95" t="s">
        <v>245</v>
      </c>
      <c r="G97" s="95" t="s">
        <v>211</v>
      </c>
      <c r="H97" s="95">
        <v>2005.0</v>
      </c>
      <c r="I97" s="7"/>
      <c r="J97" s="95" t="s">
        <v>1250</v>
      </c>
      <c r="K97" s="97" t="str">
        <f t="shared" si="378"/>
        <v/>
      </c>
      <c r="L97" s="97" t="str">
        <f t="shared" si="379"/>
        <v/>
      </c>
      <c r="M97" s="97" t="str">
        <f t="shared" si="380"/>
        <v/>
      </c>
      <c r="N97" s="97">
        <f t="shared" si="381"/>
        <v>1</v>
      </c>
      <c r="O97" s="97" t="str">
        <f t="shared" si="382"/>
        <v/>
      </c>
      <c r="P97" s="97" t="str">
        <f t="shared" si="383"/>
        <v/>
      </c>
      <c r="Q97" s="97" t="b">
        <f t="shared" si="261"/>
        <v>1</v>
      </c>
      <c r="R97" s="97" t="b">
        <f t="shared" si="384"/>
        <v>1</v>
      </c>
      <c r="S97" s="95">
        <v>0.0</v>
      </c>
      <c r="T97" s="95">
        <v>1.0</v>
      </c>
      <c r="U97" s="95">
        <v>1.0</v>
      </c>
      <c r="V97" s="97" t="b">
        <f t="shared" si="385"/>
        <v>1</v>
      </c>
      <c r="W97" s="95">
        <v>0.0</v>
      </c>
      <c r="X97" s="95">
        <v>1.0</v>
      </c>
      <c r="Y97" s="95">
        <v>1.0</v>
      </c>
      <c r="Z97" s="95" t="s">
        <v>1251</v>
      </c>
      <c r="AA97" s="97" t="str">
        <f t="shared" si="386"/>
        <v/>
      </c>
      <c r="AB97" s="97" t="str">
        <f t="shared" si="387"/>
        <v/>
      </c>
      <c r="AC97" s="98" t="s">
        <v>1252</v>
      </c>
      <c r="AD97" s="95" t="s">
        <v>464</v>
      </c>
      <c r="AE97" s="7"/>
      <c r="AF97" s="97">
        <f>countif('Charts-SLR'!A:A,AD97)</f>
        <v>1</v>
      </c>
      <c r="AG97" s="95" t="s">
        <v>591</v>
      </c>
      <c r="AH97" s="97">
        <f t="shared" si="388"/>
        <v>0</v>
      </c>
      <c r="AI97" s="95" t="s">
        <v>250</v>
      </c>
      <c r="AJ97" s="95">
        <v>2.0</v>
      </c>
      <c r="AK97" s="99">
        <f t="shared" si="389"/>
        <v>0.2857142857</v>
      </c>
      <c r="AL97" s="97" t="str">
        <f t="shared" si="390"/>
        <v/>
      </c>
      <c r="AM97" s="97">
        <f t="shared" si="391"/>
        <v>2</v>
      </c>
      <c r="AN97" s="97" t="str">
        <f t="shared" si="392"/>
        <v/>
      </c>
      <c r="AO97" s="97" t="str">
        <f t="shared" si="393"/>
        <v/>
      </c>
      <c r="AP97" s="97" t="str">
        <f t="shared" si="394"/>
        <v/>
      </c>
      <c r="AQ97" s="97" t="str">
        <f t="shared" si="395"/>
        <v/>
      </c>
      <c r="AR97" s="100"/>
      <c r="AS97" s="100"/>
      <c r="AT97" s="100"/>
      <c r="AU97" s="100"/>
      <c r="AV97" s="100"/>
      <c r="AW97" s="100"/>
      <c r="AX97" s="100"/>
      <c r="AY97" s="100"/>
      <c r="AZ97" s="100"/>
      <c r="BA97" s="100"/>
      <c r="BB97" s="101" t="str">
        <f t="shared" si="106"/>
        <v>ERR</v>
      </c>
      <c r="BC97" s="100"/>
      <c r="BD97" s="102" t="s">
        <v>217</v>
      </c>
      <c r="BE97" s="100"/>
      <c r="BF97" s="100"/>
      <c r="BG97" s="100"/>
      <c r="BH97" s="100"/>
      <c r="BI97" s="103">
        <f t="shared" si="396"/>
        <v>1</v>
      </c>
      <c r="BJ97" s="100"/>
      <c r="BK97" s="100"/>
      <c r="BL97" s="100"/>
      <c r="BM97" s="100"/>
      <c r="BN97" s="100"/>
      <c r="BO97" s="102" t="s">
        <v>217</v>
      </c>
      <c r="BP97" s="100"/>
      <c r="BQ97" s="100"/>
      <c r="BR97" s="100"/>
      <c r="BS97" s="100"/>
      <c r="BT97" s="100"/>
      <c r="BU97" s="74"/>
      <c r="BV97" s="102" t="s">
        <v>217</v>
      </c>
      <c r="BW97" s="100"/>
      <c r="BX97" s="100"/>
      <c r="BY97" s="100"/>
      <c r="BZ97" s="100"/>
      <c r="CA97" s="102" t="s">
        <v>217</v>
      </c>
      <c r="CB97" s="102" t="s">
        <v>217</v>
      </c>
      <c r="CC97" s="100"/>
      <c r="CD97" s="100"/>
      <c r="CE97" s="100"/>
      <c r="CF97" s="100"/>
      <c r="CG97" s="100"/>
      <c r="CH97" s="102" t="s">
        <v>217</v>
      </c>
      <c r="CI97" s="103" t="str">
        <f t="shared" si="260"/>
        <v/>
      </c>
      <c r="CJ97" s="103">
        <f t="shared" si="397"/>
        <v>2</v>
      </c>
      <c r="CK97" s="100"/>
      <c r="CL97" s="100"/>
      <c r="CM97" s="102" t="s">
        <v>217</v>
      </c>
      <c r="CN97" s="100"/>
      <c r="CO97" s="100"/>
      <c r="CP97" s="100"/>
      <c r="CQ97" s="100"/>
      <c r="CR97" s="7"/>
      <c r="CS97" s="7"/>
      <c r="CT97" s="7"/>
      <c r="CU97" s="7"/>
      <c r="CV97" s="7"/>
      <c r="CW97" s="7"/>
      <c r="CX97" s="7"/>
      <c r="CY97" s="7"/>
      <c r="CZ97" s="7"/>
      <c r="DA97" s="7"/>
      <c r="DB97" s="7"/>
      <c r="DC97" s="7"/>
      <c r="DD97" s="7"/>
      <c r="DE97" s="7"/>
      <c r="DF97" s="7"/>
      <c r="DG97" s="97">
        <f t="shared" si="108"/>
        <v>0</v>
      </c>
      <c r="DH97" s="7"/>
      <c r="DI97" s="7"/>
      <c r="DJ97" s="7"/>
      <c r="DK97" s="95" t="s">
        <v>217</v>
      </c>
      <c r="DL97" s="7"/>
      <c r="DM97" s="97">
        <f t="shared" si="398"/>
        <v>1</v>
      </c>
      <c r="DN97" s="7"/>
      <c r="DO97" s="95" t="s">
        <v>217</v>
      </c>
      <c r="DP97" s="97" t="str">
        <f t="shared" si="109"/>
        <v/>
      </c>
      <c r="DQ97" s="97" t="str">
        <f t="shared" si="110"/>
        <v/>
      </c>
      <c r="DR97" s="97" t="str">
        <f t="shared" si="111"/>
        <v>FA</v>
      </c>
      <c r="DS97" s="100"/>
      <c r="DT97" s="100"/>
      <c r="DU97" s="100"/>
      <c r="DV97" s="100"/>
      <c r="DW97" s="100"/>
      <c r="DX97" s="100"/>
      <c r="DY97" s="103">
        <f t="shared" si="29"/>
        <v>0</v>
      </c>
      <c r="DZ97" s="103" t="str">
        <f t="shared" si="345"/>
        <v/>
      </c>
      <c r="EA97" s="100"/>
      <c r="EB97" s="100"/>
      <c r="EC97" s="100"/>
      <c r="ED97" s="100"/>
      <c r="EE97" s="103">
        <f t="shared" si="30"/>
        <v>0</v>
      </c>
      <c r="EF97" s="103" t="str">
        <f t="shared" si="70"/>
        <v/>
      </c>
      <c r="EG97" s="97" t="str">
        <f t="shared" si="31"/>
        <v/>
      </c>
      <c r="EH97" s="7"/>
      <c r="EI97" s="7"/>
      <c r="EJ97" s="100"/>
      <c r="EK97" s="100"/>
      <c r="EL97" s="100"/>
      <c r="EM97" s="100"/>
      <c r="EN97" s="7"/>
      <c r="EO97" s="95" t="s">
        <v>217</v>
      </c>
      <c r="EP97" s="7"/>
      <c r="EQ97" s="7"/>
      <c r="ER97" s="7"/>
      <c r="ES97" s="7"/>
      <c r="ET97" s="100"/>
      <c r="EU97" s="100"/>
      <c r="EV97" s="100"/>
      <c r="EW97" s="100"/>
      <c r="EX97" s="100"/>
      <c r="EY97" s="7"/>
      <c r="EZ97" s="7"/>
      <c r="FA97" s="7"/>
      <c r="FB97" s="7"/>
      <c r="FC97" s="7"/>
      <c r="FD97" s="7"/>
      <c r="FE97" s="97" t="str">
        <f t="shared" si="32"/>
        <v/>
      </c>
      <c r="FF97" s="7"/>
      <c r="FG97" s="7"/>
      <c r="FH97" s="7"/>
      <c r="FI97" s="7"/>
      <c r="FJ97" s="7"/>
      <c r="FK97" s="7"/>
      <c r="FL97" s="7"/>
      <c r="FM97" s="7"/>
      <c r="FN97" s="7"/>
      <c r="FO97" s="7"/>
      <c r="FP97" s="95" t="s">
        <v>217</v>
      </c>
      <c r="FQ97" s="97" t="str">
        <f t="shared" si="399"/>
        <v/>
      </c>
      <c r="FR97" s="95" t="s">
        <v>217</v>
      </c>
      <c r="FS97" s="7"/>
      <c r="FT97" s="97" t="str">
        <f t="shared" si="400"/>
        <v/>
      </c>
      <c r="FU97" s="97" t="str">
        <f t="shared" si="401"/>
        <v/>
      </c>
      <c r="FV97" s="100"/>
      <c r="FW97" s="7"/>
      <c r="FX97" s="7"/>
      <c r="FY97" s="7"/>
      <c r="FZ97" s="7"/>
      <c r="GA97" s="7"/>
      <c r="GB97" s="7"/>
      <c r="GC97" s="7"/>
      <c r="GD97" s="7"/>
      <c r="GE97" s="7"/>
      <c r="GF97" s="7"/>
      <c r="GG97" s="7"/>
      <c r="GH97" s="7"/>
      <c r="GI97" s="7"/>
      <c r="GJ97" s="7"/>
      <c r="GK97" s="95" t="s">
        <v>217</v>
      </c>
      <c r="GL97" s="95" t="s">
        <v>1253</v>
      </c>
      <c r="GM97" s="95" t="s">
        <v>217</v>
      </c>
      <c r="GN97" s="7"/>
      <c r="GO97" s="7"/>
      <c r="GP97" s="121"/>
      <c r="GQ97" s="7"/>
      <c r="GR97" s="95" t="s">
        <v>217</v>
      </c>
      <c r="GS97" s="7"/>
      <c r="GT97" s="7"/>
      <c r="GU97" s="61" t="str">
        <f t="shared" si="36"/>
        <v/>
      </c>
      <c r="GV97" s="61" t="str">
        <f t="shared" si="37"/>
        <v/>
      </c>
      <c r="GW97" s="61" t="str">
        <f t="shared" si="38"/>
        <v/>
      </c>
      <c r="GX97" s="61" t="str">
        <f t="shared" si="39"/>
        <v/>
      </c>
      <c r="GY97" s="61" t="str">
        <f t="shared" si="40"/>
        <v/>
      </c>
      <c r="GZ97" s="61" t="str">
        <f t="shared" si="41"/>
        <v/>
      </c>
      <c r="HA97" s="61" t="str">
        <f t="shared" si="42"/>
        <v/>
      </c>
      <c r="HB97" s="61" t="str">
        <f t="shared" si="43"/>
        <v/>
      </c>
      <c r="HC97" s="61" t="str">
        <f t="shared" si="44"/>
        <v/>
      </c>
      <c r="HD97" s="61" t="str">
        <f t="shared" si="45"/>
        <v/>
      </c>
      <c r="HE97" s="61" t="str">
        <f t="shared" si="46"/>
        <v/>
      </c>
      <c r="HF97" s="61" t="str">
        <f t="shared" si="47"/>
        <v/>
      </c>
      <c r="HG97" s="61" t="str">
        <f t="shared" si="48"/>
        <v/>
      </c>
      <c r="HH97" s="61" t="str">
        <f t="shared" si="49"/>
        <v/>
      </c>
      <c r="HI97" s="61" t="str">
        <f t="shared" si="50"/>
        <v/>
      </c>
      <c r="HJ97" s="61" t="str">
        <f t="shared" si="51"/>
        <v/>
      </c>
      <c r="HK97" s="61" t="str">
        <f t="shared" si="52"/>
        <v/>
      </c>
      <c r="HL97" s="61" t="str">
        <f t="shared" si="53"/>
        <v/>
      </c>
      <c r="HM97" s="61" t="str">
        <f t="shared" si="54"/>
        <v/>
      </c>
      <c r="HN97" s="61" t="str">
        <f t="shared" si="55"/>
        <v/>
      </c>
      <c r="HO97" s="61" t="str">
        <f t="shared" si="56"/>
        <v/>
      </c>
      <c r="HP97" s="61" t="str">
        <f t="shared" si="57"/>
        <v/>
      </c>
      <c r="HQ97" s="61" t="str">
        <f t="shared" si="58"/>
        <v/>
      </c>
      <c r="HR97" s="61" t="str">
        <f t="shared" si="59"/>
        <v/>
      </c>
      <c r="HS97" s="61" t="str">
        <f t="shared" si="60"/>
        <v/>
      </c>
      <c r="HT97" s="61" t="str">
        <f t="shared" si="61"/>
        <v/>
      </c>
      <c r="HU97" s="61" t="str">
        <f t="shared" si="62"/>
        <v/>
      </c>
      <c r="HV97" s="61" t="str">
        <f t="shared" si="63"/>
        <v/>
      </c>
      <c r="HW97" s="61" t="str">
        <f t="shared" si="64"/>
        <v/>
      </c>
      <c r="HX97" s="61" t="str">
        <f t="shared" si="65"/>
        <v/>
      </c>
      <c r="HY97" s="61" t="str">
        <f t="shared" si="66"/>
        <v/>
      </c>
      <c r="HZ97" s="61" t="str">
        <f t="shared" si="67"/>
        <v/>
      </c>
    </row>
    <row r="98" ht="15.0" customHeight="1">
      <c r="A98" s="1"/>
      <c r="B98" s="149"/>
      <c r="C98" s="150" t="s">
        <v>1254</v>
      </c>
      <c r="D98" s="151">
        <f t="array" ref="D98">SUM.LEGACY(D100,"","")</f>
        <v>0</v>
      </c>
      <c r="E98" s="152">
        <f>COUNTA.LEGACY(E3:E97)</f>
        <v>58</v>
      </c>
      <c r="F98" s="149"/>
      <c r="G98" s="149"/>
      <c r="H98" s="149"/>
      <c r="I98" s="149"/>
      <c r="J98" s="149"/>
      <c r="K98" s="153">
        <f>sum(K23:K97)</f>
        <v>10</v>
      </c>
      <c r="L98" s="149"/>
      <c r="M98" s="149"/>
      <c r="N98" s="149"/>
      <c r="O98" s="149"/>
      <c r="P98" s="149"/>
      <c r="Q98" s="149"/>
      <c r="R98" s="149"/>
      <c r="S98" s="149"/>
      <c r="T98" s="149"/>
      <c r="U98" s="149"/>
      <c r="V98" s="149"/>
      <c r="W98" s="149"/>
      <c r="X98" s="149"/>
      <c r="Y98" s="149"/>
      <c r="Z98" s="154"/>
      <c r="AA98" s="149"/>
      <c r="AB98" s="149"/>
      <c r="AC98" s="155"/>
      <c r="AD98" s="149"/>
      <c r="AE98" s="149"/>
      <c r="AF98" s="149"/>
      <c r="AG98" s="149"/>
      <c r="AH98" s="149"/>
      <c r="AI98" s="149"/>
      <c r="AJ98" s="149"/>
      <c r="AK98" s="149"/>
      <c r="AL98" s="149"/>
      <c r="AM98" s="149"/>
      <c r="AN98" s="149"/>
      <c r="AO98" s="149"/>
      <c r="AP98" s="149"/>
      <c r="AQ98" s="149"/>
      <c r="AR98" s="152">
        <f t="shared" ref="AR98:BA98" si="402">counta(AR3:AR97)</f>
        <v>7</v>
      </c>
      <c r="AS98" s="152">
        <f t="shared" si="402"/>
        <v>5</v>
      </c>
      <c r="AT98" s="152">
        <f t="shared" si="402"/>
        <v>4</v>
      </c>
      <c r="AU98" s="152">
        <f t="shared" si="402"/>
        <v>6</v>
      </c>
      <c r="AV98" s="152">
        <f t="shared" si="402"/>
        <v>16</v>
      </c>
      <c r="AW98" s="152">
        <f t="shared" si="402"/>
        <v>3</v>
      </c>
      <c r="AX98" s="152">
        <f t="shared" si="402"/>
        <v>5</v>
      </c>
      <c r="AY98" s="152">
        <f t="shared" si="402"/>
        <v>4</v>
      </c>
      <c r="AZ98" s="152">
        <f t="shared" si="402"/>
        <v>9</v>
      </c>
      <c r="BA98" s="152">
        <f t="shared" si="402"/>
        <v>4</v>
      </c>
      <c r="BB98" s="152">
        <f>COUNTA.LEGACY(BB3:BB97)</f>
        <v>51</v>
      </c>
      <c r="BC98" s="152">
        <f t="shared" ref="BC98:BM98" si="403">counta(BC3:BC97)</f>
        <v>71</v>
      </c>
      <c r="BD98" s="152">
        <f t="shared" si="403"/>
        <v>52</v>
      </c>
      <c r="BE98" s="152">
        <f t="shared" si="403"/>
        <v>40</v>
      </c>
      <c r="BF98" s="152">
        <f t="shared" si="403"/>
        <v>14</v>
      </c>
      <c r="BG98" s="152">
        <f t="shared" si="403"/>
        <v>11</v>
      </c>
      <c r="BH98" s="152">
        <f t="shared" si="403"/>
        <v>15</v>
      </c>
      <c r="BI98" s="152">
        <f t="shared" si="403"/>
        <v>75</v>
      </c>
      <c r="BJ98" s="152">
        <f t="shared" si="403"/>
        <v>22</v>
      </c>
      <c r="BK98" s="152">
        <f t="shared" si="403"/>
        <v>5</v>
      </c>
      <c r="BL98" s="152">
        <f t="shared" si="403"/>
        <v>7</v>
      </c>
      <c r="BM98" s="152">
        <f t="shared" si="403"/>
        <v>10</v>
      </c>
      <c r="BN98" s="156"/>
      <c r="BO98" s="152">
        <f t="shared" ref="BO98:CE98" si="404">counta(BO3:BO97)</f>
        <v>36</v>
      </c>
      <c r="BP98" s="152">
        <f t="shared" si="404"/>
        <v>45</v>
      </c>
      <c r="BQ98" s="152">
        <f t="shared" si="404"/>
        <v>13</v>
      </c>
      <c r="BR98" s="152">
        <f t="shared" si="404"/>
        <v>1</v>
      </c>
      <c r="BS98" s="152">
        <f t="shared" si="404"/>
        <v>0</v>
      </c>
      <c r="BT98" s="152">
        <f t="shared" si="404"/>
        <v>0</v>
      </c>
      <c r="BU98" s="152">
        <f t="shared" si="404"/>
        <v>0</v>
      </c>
      <c r="BV98" s="152">
        <f t="shared" si="404"/>
        <v>75</v>
      </c>
      <c r="BW98" s="152">
        <f t="shared" si="404"/>
        <v>23</v>
      </c>
      <c r="BX98" s="152">
        <f t="shared" si="404"/>
        <v>32</v>
      </c>
      <c r="BY98" s="152">
        <f t="shared" si="404"/>
        <v>58</v>
      </c>
      <c r="BZ98" s="152">
        <f t="shared" si="404"/>
        <v>3</v>
      </c>
      <c r="CA98" s="152">
        <f t="shared" si="404"/>
        <v>40</v>
      </c>
      <c r="CB98" s="152">
        <f t="shared" si="404"/>
        <v>31</v>
      </c>
      <c r="CC98" s="152">
        <f t="shared" si="404"/>
        <v>17</v>
      </c>
      <c r="CD98" s="152">
        <f t="shared" si="404"/>
        <v>6</v>
      </c>
      <c r="CE98" s="152">
        <f t="shared" si="404"/>
        <v>22</v>
      </c>
      <c r="CF98" s="156"/>
      <c r="CG98" s="152">
        <f t="shared" ref="CG98:CH98" si="405">counta(CG3:CG97)</f>
        <v>42</v>
      </c>
      <c r="CH98" s="152">
        <f t="shared" si="405"/>
        <v>59</v>
      </c>
      <c r="CI98" s="152">
        <f>COUNTA.LEGACY(CI3:CI97)</f>
        <v>13</v>
      </c>
      <c r="CJ98" s="152">
        <f t="shared" ref="CJ98:DO98" si="406">counta(CJ3:CJ97)</f>
        <v>67</v>
      </c>
      <c r="CK98" s="152">
        <f t="shared" si="406"/>
        <v>43</v>
      </c>
      <c r="CL98" s="152">
        <f t="shared" si="406"/>
        <v>23</v>
      </c>
      <c r="CM98" s="152">
        <f t="shared" si="406"/>
        <v>52</v>
      </c>
      <c r="CN98" s="152">
        <f t="shared" si="406"/>
        <v>44</v>
      </c>
      <c r="CO98" s="152">
        <f t="shared" si="406"/>
        <v>8</v>
      </c>
      <c r="CP98" s="152">
        <f t="shared" si="406"/>
        <v>18</v>
      </c>
      <c r="CQ98" s="152">
        <f t="shared" si="406"/>
        <v>8</v>
      </c>
      <c r="CR98" s="151">
        <f t="shared" si="406"/>
        <v>17</v>
      </c>
      <c r="CS98" s="151">
        <f t="shared" si="406"/>
        <v>21</v>
      </c>
      <c r="CT98" s="151">
        <f t="shared" si="406"/>
        <v>11</v>
      </c>
      <c r="CU98" s="151">
        <f t="shared" si="406"/>
        <v>6</v>
      </c>
      <c r="CV98" s="151">
        <f t="shared" si="406"/>
        <v>9</v>
      </c>
      <c r="CW98" s="151">
        <f t="shared" si="406"/>
        <v>2</v>
      </c>
      <c r="CX98" s="151">
        <f t="shared" si="406"/>
        <v>28</v>
      </c>
      <c r="CY98" s="151">
        <f t="shared" si="406"/>
        <v>18</v>
      </c>
      <c r="CZ98" s="151">
        <f t="shared" si="406"/>
        <v>17</v>
      </c>
      <c r="DA98" s="151">
        <f t="shared" si="406"/>
        <v>3</v>
      </c>
      <c r="DB98" s="151">
        <f t="shared" si="406"/>
        <v>9</v>
      </c>
      <c r="DC98" s="151">
        <f t="shared" si="406"/>
        <v>3</v>
      </c>
      <c r="DD98" s="151">
        <f t="shared" si="406"/>
        <v>9</v>
      </c>
      <c r="DE98" s="151">
        <f t="shared" si="406"/>
        <v>27</v>
      </c>
      <c r="DF98" s="151">
        <f t="shared" si="406"/>
        <v>16</v>
      </c>
      <c r="DG98" s="151">
        <f t="shared" si="406"/>
        <v>94</v>
      </c>
      <c r="DH98" s="151">
        <f t="shared" si="406"/>
        <v>42</v>
      </c>
      <c r="DI98" s="151">
        <f t="shared" si="406"/>
        <v>25</v>
      </c>
      <c r="DJ98" s="151">
        <f t="shared" si="406"/>
        <v>21</v>
      </c>
      <c r="DK98" s="151">
        <f t="shared" si="406"/>
        <v>19</v>
      </c>
      <c r="DL98" s="151">
        <f t="shared" si="406"/>
        <v>23</v>
      </c>
      <c r="DM98" s="151">
        <f t="shared" si="406"/>
        <v>75</v>
      </c>
      <c r="DN98" s="151">
        <f t="shared" si="406"/>
        <v>31</v>
      </c>
      <c r="DO98" s="151">
        <f t="shared" si="406"/>
        <v>85</v>
      </c>
      <c r="DP98" s="151">
        <f t="shared" ref="DP98:DR98" si="407">COUNTA.LEGACY(DP3:DP97)</f>
        <v>24</v>
      </c>
      <c r="DQ98" s="151">
        <f t="shared" si="407"/>
        <v>7</v>
      </c>
      <c r="DR98" s="151">
        <f t="shared" si="407"/>
        <v>60</v>
      </c>
      <c r="DS98" s="152">
        <f t="shared" ref="DS98:DX98" si="408">counta(DS3:DS97)</f>
        <v>28</v>
      </c>
      <c r="DT98" s="152">
        <f t="shared" si="408"/>
        <v>9</v>
      </c>
      <c r="DU98" s="152">
        <f t="shared" si="408"/>
        <v>15</v>
      </c>
      <c r="DV98" s="152">
        <f t="shared" si="408"/>
        <v>17</v>
      </c>
      <c r="DW98" s="152">
        <f t="shared" si="408"/>
        <v>27</v>
      </c>
      <c r="DX98" s="152">
        <f t="shared" si="408"/>
        <v>10</v>
      </c>
      <c r="DY98" s="152">
        <f>countif(DY3:DY97, "0")</f>
        <v>33</v>
      </c>
      <c r="DZ98" s="152">
        <f>COUNTA.LEGACY(DZ3:DZ97)</f>
        <v>8</v>
      </c>
      <c r="EA98" s="152">
        <f t="shared" ref="EA98:ED98" si="409">counta(EA3:EA97)</f>
        <v>27</v>
      </c>
      <c r="EB98" s="152">
        <f t="shared" si="409"/>
        <v>17</v>
      </c>
      <c r="EC98" s="152">
        <f t="shared" si="409"/>
        <v>7</v>
      </c>
      <c r="ED98" s="152">
        <f t="shared" si="409"/>
        <v>3</v>
      </c>
      <c r="EE98" s="156"/>
      <c r="EF98" s="151">
        <f t="shared" ref="EF98:EG98" si="410">COUNTA.LEGACY(EF3:EF97)</f>
        <v>32</v>
      </c>
      <c r="EG98" s="151">
        <f t="shared" si="410"/>
        <v>0</v>
      </c>
      <c r="EH98" s="151">
        <f>counta(EH3:EH97)</f>
        <v>6</v>
      </c>
      <c r="EI98" s="154"/>
      <c r="EJ98" s="156"/>
      <c r="EK98" s="156"/>
      <c r="EL98" s="156"/>
      <c r="EM98" s="152">
        <f t="shared" ref="EM98:FD98" si="411">counta(EM3:EM97)</f>
        <v>11</v>
      </c>
      <c r="EN98" s="151">
        <f t="shared" si="411"/>
        <v>24</v>
      </c>
      <c r="EO98" s="151">
        <f t="shared" si="411"/>
        <v>25</v>
      </c>
      <c r="EP98" s="151">
        <f t="shared" si="411"/>
        <v>10</v>
      </c>
      <c r="EQ98" s="151">
        <f t="shared" si="411"/>
        <v>5</v>
      </c>
      <c r="ER98" s="151">
        <f t="shared" si="411"/>
        <v>0</v>
      </c>
      <c r="ES98" s="151">
        <f t="shared" si="411"/>
        <v>58</v>
      </c>
      <c r="ET98" s="151">
        <f t="shared" si="411"/>
        <v>58</v>
      </c>
      <c r="EU98" s="151">
        <f t="shared" si="411"/>
        <v>4</v>
      </c>
      <c r="EV98" s="151">
        <f t="shared" si="411"/>
        <v>1</v>
      </c>
      <c r="EW98" s="151">
        <f t="shared" si="411"/>
        <v>2</v>
      </c>
      <c r="EX98" s="151">
        <f t="shared" si="411"/>
        <v>0</v>
      </c>
      <c r="EY98" s="151">
        <f t="shared" si="411"/>
        <v>4</v>
      </c>
      <c r="EZ98" s="151">
        <f t="shared" si="411"/>
        <v>58</v>
      </c>
      <c r="FA98" s="152">
        <f t="shared" si="411"/>
        <v>30</v>
      </c>
      <c r="FB98" s="151">
        <f t="shared" si="411"/>
        <v>9</v>
      </c>
      <c r="FC98" s="151">
        <f t="shared" si="411"/>
        <v>6</v>
      </c>
      <c r="FD98" s="151">
        <f t="shared" si="411"/>
        <v>36</v>
      </c>
      <c r="FE98" s="151">
        <f>COUNTA.LEGACY(FE3:FE97)</f>
        <v>58</v>
      </c>
      <c r="FF98" s="151">
        <f t="shared" ref="FF98:FP98" si="412">counta(FF3:FF97)</f>
        <v>58</v>
      </c>
      <c r="FG98" s="151">
        <f t="shared" si="412"/>
        <v>58</v>
      </c>
      <c r="FH98" s="151">
        <f t="shared" si="412"/>
        <v>58</v>
      </c>
      <c r="FI98" s="151">
        <f t="shared" si="412"/>
        <v>58</v>
      </c>
      <c r="FJ98" s="151">
        <f t="shared" si="412"/>
        <v>58</v>
      </c>
      <c r="FK98" s="151">
        <f t="shared" si="412"/>
        <v>58</v>
      </c>
      <c r="FL98" s="151">
        <f t="shared" si="412"/>
        <v>58</v>
      </c>
      <c r="FM98" s="151">
        <f t="shared" si="412"/>
        <v>58</v>
      </c>
      <c r="FN98" s="151">
        <f t="shared" si="412"/>
        <v>58</v>
      </c>
      <c r="FO98" s="151">
        <f t="shared" si="412"/>
        <v>4</v>
      </c>
      <c r="FP98" s="151">
        <f t="shared" si="412"/>
        <v>89</v>
      </c>
      <c r="FQ98" s="151">
        <f>COUNTA.LEGACY(FQ3:FQ97)</f>
        <v>0</v>
      </c>
      <c r="FR98" s="151">
        <f t="shared" ref="FR98:FS98" si="413">counta(FR3:FR97)</f>
        <v>76</v>
      </c>
      <c r="FS98" s="151">
        <f t="shared" si="413"/>
        <v>19</v>
      </c>
      <c r="FT98" s="151">
        <f t="shared" ref="FT98:FU98" si="414">COUNTA.LEGACY(FT3:FT97)</f>
        <v>0</v>
      </c>
      <c r="FU98" s="151">
        <f t="shared" si="414"/>
        <v>0</v>
      </c>
      <c r="FV98" s="152">
        <f t="shared" ref="FV98:GT98" si="415">counta(FV3:FV97)</f>
        <v>21</v>
      </c>
      <c r="FW98" s="151">
        <f t="shared" si="415"/>
        <v>39</v>
      </c>
      <c r="FX98" s="151">
        <f t="shared" si="415"/>
        <v>22</v>
      </c>
      <c r="FY98" s="151">
        <f t="shared" si="415"/>
        <v>29</v>
      </c>
      <c r="FZ98" s="151">
        <f t="shared" si="415"/>
        <v>26</v>
      </c>
      <c r="GA98" s="151">
        <f t="shared" si="415"/>
        <v>9</v>
      </c>
      <c r="GB98" s="151">
        <f t="shared" si="415"/>
        <v>2</v>
      </c>
      <c r="GC98" s="151">
        <f t="shared" si="415"/>
        <v>20</v>
      </c>
      <c r="GD98" s="151">
        <f t="shared" si="415"/>
        <v>30</v>
      </c>
      <c r="GE98" s="151">
        <f t="shared" si="415"/>
        <v>6</v>
      </c>
      <c r="GF98" s="151">
        <f t="shared" si="415"/>
        <v>0</v>
      </c>
      <c r="GG98" s="151">
        <f t="shared" si="415"/>
        <v>0</v>
      </c>
      <c r="GH98" s="151">
        <f t="shared" si="415"/>
        <v>2</v>
      </c>
      <c r="GI98" s="151">
        <f t="shared" si="415"/>
        <v>24</v>
      </c>
      <c r="GJ98" s="151">
        <f t="shared" si="415"/>
        <v>11</v>
      </c>
      <c r="GK98" s="151">
        <f t="shared" si="415"/>
        <v>5</v>
      </c>
      <c r="GL98" s="151">
        <f t="shared" si="415"/>
        <v>52</v>
      </c>
      <c r="GM98" s="151">
        <f t="shared" si="415"/>
        <v>11</v>
      </c>
      <c r="GN98" s="151">
        <f t="shared" si="415"/>
        <v>76</v>
      </c>
      <c r="GO98" s="151">
        <f t="shared" si="415"/>
        <v>76</v>
      </c>
      <c r="GP98" s="151">
        <f t="shared" si="415"/>
        <v>50</v>
      </c>
      <c r="GQ98" s="151">
        <f t="shared" si="415"/>
        <v>54</v>
      </c>
      <c r="GR98" s="151">
        <f t="shared" si="415"/>
        <v>28</v>
      </c>
      <c r="GS98" s="151">
        <f t="shared" si="415"/>
        <v>56</v>
      </c>
      <c r="GT98" s="151">
        <f t="shared" si="415"/>
        <v>23</v>
      </c>
      <c r="GU98" s="151">
        <f t="shared" ref="GU98:HZ98" si="416">COUNTA.LEGACY(GU3:GU97)</f>
        <v>6</v>
      </c>
      <c r="GV98" s="151">
        <f t="shared" si="416"/>
        <v>1</v>
      </c>
      <c r="GW98" s="151">
        <f t="shared" si="416"/>
        <v>8</v>
      </c>
      <c r="GX98" s="151">
        <f t="shared" si="416"/>
        <v>11</v>
      </c>
      <c r="GY98" s="151">
        <f t="shared" si="416"/>
        <v>14</v>
      </c>
      <c r="GZ98" s="151">
        <f t="shared" si="416"/>
        <v>0</v>
      </c>
      <c r="HA98" s="151">
        <f t="shared" si="416"/>
        <v>4</v>
      </c>
      <c r="HB98" s="151">
        <f t="shared" si="416"/>
        <v>2</v>
      </c>
      <c r="HC98" s="151">
        <f t="shared" si="416"/>
        <v>3</v>
      </c>
      <c r="HD98" s="151">
        <f t="shared" si="416"/>
        <v>13</v>
      </c>
      <c r="HE98" s="151">
        <f t="shared" si="416"/>
        <v>4</v>
      </c>
      <c r="HF98" s="151">
        <f t="shared" si="416"/>
        <v>3</v>
      </c>
      <c r="HG98" s="151">
        <f t="shared" si="416"/>
        <v>0</v>
      </c>
      <c r="HH98" s="151">
        <f t="shared" si="416"/>
        <v>3</v>
      </c>
      <c r="HI98" s="151">
        <f t="shared" si="416"/>
        <v>5</v>
      </c>
      <c r="HJ98" s="151">
        <f t="shared" si="416"/>
        <v>10</v>
      </c>
      <c r="HK98" s="151">
        <f t="shared" si="416"/>
        <v>0</v>
      </c>
      <c r="HL98" s="151">
        <f t="shared" si="416"/>
        <v>1</v>
      </c>
      <c r="HM98" s="151">
        <f t="shared" si="416"/>
        <v>2</v>
      </c>
      <c r="HN98" s="151">
        <f t="shared" si="416"/>
        <v>1</v>
      </c>
      <c r="HO98" s="151">
        <f t="shared" si="416"/>
        <v>5</v>
      </c>
      <c r="HP98" s="151">
        <f t="shared" si="416"/>
        <v>1</v>
      </c>
      <c r="HQ98" s="151">
        <f t="shared" si="416"/>
        <v>5</v>
      </c>
      <c r="HR98" s="151">
        <f t="shared" si="416"/>
        <v>3</v>
      </c>
      <c r="HS98" s="151">
        <f t="shared" si="416"/>
        <v>2</v>
      </c>
      <c r="HT98" s="151">
        <f t="shared" si="416"/>
        <v>4</v>
      </c>
      <c r="HU98" s="151">
        <f t="shared" si="416"/>
        <v>5</v>
      </c>
      <c r="HV98" s="151">
        <f t="shared" si="416"/>
        <v>0</v>
      </c>
      <c r="HW98" s="151">
        <f t="shared" si="416"/>
        <v>5</v>
      </c>
      <c r="HX98" s="151">
        <f t="shared" si="416"/>
        <v>3</v>
      </c>
      <c r="HY98" s="151">
        <f t="shared" si="416"/>
        <v>4</v>
      </c>
      <c r="HZ98" s="151">
        <f t="shared" si="416"/>
        <v>3</v>
      </c>
    </row>
    <row r="99" ht="1.5" customHeight="1">
      <c r="A99" s="157"/>
      <c r="B99" s="158"/>
      <c r="C99" s="159"/>
      <c r="D99" s="159"/>
      <c r="E99" s="160"/>
      <c r="F99" s="158"/>
      <c r="G99" s="158"/>
      <c r="H99" s="158"/>
      <c r="I99" s="158"/>
      <c r="J99" s="158"/>
      <c r="K99" s="158"/>
      <c r="Q99" s="158"/>
      <c r="R99" s="158"/>
      <c r="S99" s="158"/>
      <c r="T99" s="158"/>
      <c r="U99" s="158"/>
      <c r="V99" s="158"/>
      <c r="W99" s="158"/>
      <c r="X99" s="158"/>
      <c r="Y99" s="158"/>
      <c r="Z99" s="159"/>
      <c r="AA99" s="158"/>
      <c r="AB99" s="158"/>
      <c r="AC99" s="161"/>
      <c r="AD99" s="158"/>
      <c r="AE99" s="158"/>
      <c r="AF99" s="158"/>
      <c r="AG99" s="158"/>
      <c r="AH99" s="158"/>
      <c r="AI99" s="162" t="s">
        <v>1255</v>
      </c>
      <c r="AJ99" s="158">
        <f t="shared" ref="AJ99:AP99" si="417">sum(AJ1:AJ73)</f>
        <v>1697</v>
      </c>
      <c r="AK99" s="158">
        <f t="shared" si="417"/>
        <v>312.1572511</v>
      </c>
      <c r="AL99" s="158">
        <f t="shared" si="417"/>
        <v>592</v>
      </c>
      <c r="AM99" s="158">
        <f t="shared" si="417"/>
        <v>750</v>
      </c>
      <c r="AN99" s="158">
        <f t="shared" si="417"/>
        <v>88</v>
      </c>
      <c r="AO99" s="158">
        <f t="shared" si="417"/>
        <v>0</v>
      </c>
      <c r="AP99" s="158">
        <f t="shared" si="417"/>
        <v>267</v>
      </c>
      <c r="AQ99" s="158"/>
      <c r="AR99" s="163"/>
      <c r="AS99" s="163"/>
      <c r="AT99" s="163"/>
      <c r="AU99" s="163"/>
      <c r="AV99" s="163"/>
      <c r="AW99" s="163"/>
      <c r="AX99" s="163"/>
      <c r="AY99" s="163"/>
      <c r="AZ99" s="163"/>
      <c r="BA99" s="163"/>
      <c r="BB99" s="163"/>
      <c r="BC99" s="163">
        <f t="array" ref="BC99">""/79</f>
        <v>0</v>
      </c>
      <c r="BD99" s="163">
        <f t="array" ref="BD99">100*""/79</f>
        <v>0</v>
      </c>
      <c r="BE99" s="163">
        <f>BE98/95</f>
        <v>0.4210526316</v>
      </c>
      <c r="BF99" s="163">
        <f t="shared" ref="BF99:BI99" si="418">100*""/79</f>
        <v>0</v>
      </c>
      <c r="BG99" s="163">
        <f t="shared" si="418"/>
        <v>0</v>
      </c>
      <c r="BH99" s="163">
        <f t="shared" si="418"/>
        <v>0</v>
      </c>
      <c r="BI99" s="163">
        <f t="shared" si="418"/>
        <v>0</v>
      </c>
      <c r="BJ99" s="163"/>
      <c r="BK99" s="163"/>
      <c r="BL99" s="163"/>
      <c r="BM99" s="163"/>
      <c r="BN99" s="163"/>
      <c r="BO99" s="163">
        <f t="shared" ref="BO99:BT99" si="419">100*""/79</f>
        <v>0</v>
      </c>
      <c r="BP99" s="163">
        <f t="shared" si="419"/>
        <v>0</v>
      </c>
      <c r="BQ99" s="163">
        <f t="shared" si="419"/>
        <v>0</v>
      </c>
      <c r="BR99" s="163">
        <f t="shared" si="419"/>
        <v>0</v>
      </c>
      <c r="BS99" s="163">
        <f t="shared" si="419"/>
        <v>0</v>
      </c>
      <c r="BT99" s="163">
        <f t="shared" si="419"/>
        <v>0</v>
      </c>
      <c r="BU99" s="163">
        <f t="array" ref="BU99">""/79</f>
        <v>0</v>
      </c>
      <c r="BV99" s="163">
        <f t="shared" ref="BV99:CC99" si="420">100*""/79</f>
        <v>0</v>
      </c>
      <c r="BW99" s="163">
        <f t="shared" si="420"/>
        <v>0</v>
      </c>
      <c r="BX99" s="163">
        <f t="shared" si="420"/>
        <v>0</v>
      </c>
      <c r="BY99" s="163">
        <f t="shared" si="420"/>
        <v>0</v>
      </c>
      <c r="BZ99" s="163">
        <f t="shared" si="420"/>
        <v>0</v>
      </c>
      <c r="CA99" s="163">
        <f t="shared" si="420"/>
        <v>0</v>
      </c>
      <c r="CB99" s="163">
        <f t="shared" si="420"/>
        <v>0</v>
      </c>
      <c r="CC99" s="163">
        <f t="shared" si="420"/>
        <v>0</v>
      </c>
      <c r="CD99" s="163"/>
      <c r="CE99" s="163">
        <f t="array" ref="CE99">100*""/79</f>
        <v>0</v>
      </c>
      <c r="CF99" s="163"/>
      <c r="CG99" s="163">
        <f t="shared" ref="CG99:CI99" si="421">100*""/79</f>
        <v>0</v>
      </c>
      <c r="CH99" s="163">
        <f t="shared" si="421"/>
        <v>0</v>
      </c>
      <c r="CI99" s="163">
        <f t="shared" si="421"/>
        <v>0</v>
      </c>
      <c r="CJ99" s="163"/>
      <c r="CK99" s="163">
        <f t="shared" ref="CK99:DF99" si="422">100*""/79</f>
        <v>0</v>
      </c>
      <c r="CL99" s="163">
        <f t="shared" si="422"/>
        <v>0</v>
      </c>
      <c r="CM99" s="163">
        <f t="shared" si="422"/>
        <v>0</v>
      </c>
      <c r="CN99" s="163">
        <f t="shared" si="422"/>
        <v>0</v>
      </c>
      <c r="CO99" s="163">
        <f t="shared" si="422"/>
        <v>0</v>
      </c>
      <c r="CP99" s="163">
        <f t="shared" si="422"/>
        <v>0</v>
      </c>
      <c r="CQ99" s="163">
        <f t="shared" si="422"/>
        <v>0</v>
      </c>
      <c r="CR99" s="158">
        <f t="shared" si="422"/>
        <v>0</v>
      </c>
      <c r="CS99" s="158">
        <f t="shared" si="422"/>
        <v>0</v>
      </c>
      <c r="CT99" s="158">
        <f t="shared" si="422"/>
        <v>0</v>
      </c>
      <c r="CU99" s="158">
        <f t="shared" si="422"/>
        <v>0</v>
      </c>
      <c r="CV99" s="158">
        <f t="shared" si="422"/>
        <v>0</v>
      </c>
      <c r="CW99" s="158">
        <f t="shared" si="422"/>
        <v>0</v>
      </c>
      <c r="CX99" s="158">
        <f t="shared" si="422"/>
        <v>0</v>
      </c>
      <c r="CY99" s="158">
        <f t="shared" si="422"/>
        <v>0</v>
      </c>
      <c r="CZ99" s="158">
        <f t="shared" si="422"/>
        <v>0</v>
      </c>
      <c r="DA99" s="158">
        <f t="shared" si="422"/>
        <v>0</v>
      </c>
      <c r="DB99" s="158">
        <f t="shared" si="422"/>
        <v>0</v>
      </c>
      <c r="DC99" s="158">
        <f t="shared" si="422"/>
        <v>0</v>
      </c>
      <c r="DD99" s="158">
        <f t="shared" si="422"/>
        <v>0</v>
      </c>
      <c r="DE99" s="158">
        <f t="shared" si="422"/>
        <v>0</v>
      </c>
      <c r="DF99" s="158">
        <f t="shared" si="422"/>
        <v>0</v>
      </c>
      <c r="DG99" s="158"/>
      <c r="DH99" s="158">
        <f t="shared" ref="DH99:DJ99" si="423">100*""/79</f>
        <v>0</v>
      </c>
      <c r="DI99" s="158">
        <f t="shared" si="423"/>
        <v>0</v>
      </c>
      <c r="DJ99" s="158">
        <f t="shared" si="423"/>
        <v>0</v>
      </c>
      <c r="DK99" s="158"/>
      <c r="DL99" s="158"/>
      <c r="DM99" s="158"/>
      <c r="DN99" s="158"/>
      <c r="DO99" s="158"/>
      <c r="DP99" s="158"/>
      <c r="DQ99" s="158"/>
      <c r="DR99" s="158"/>
      <c r="DS99" s="163">
        <f t="shared" ref="DS99:DX99" si="424">DS98/95</f>
        <v>0.2947368421</v>
      </c>
      <c r="DT99" s="163">
        <f t="shared" si="424"/>
        <v>0.09473684211</v>
      </c>
      <c r="DU99" s="163">
        <f t="shared" si="424"/>
        <v>0.1578947368</v>
      </c>
      <c r="DV99" s="163">
        <f t="shared" si="424"/>
        <v>0.1789473684</v>
      </c>
      <c r="DW99" s="163">
        <f t="shared" si="424"/>
        <v>0.2842105263</v>
      </c>
      <c r="DX99" s="163">
        <f t="shared" si="424"/>
        <v>0.1052631579</v>
      </c>
      <c r="DY99" s="163"/>
      <c r="DZ99" s="163"/>
      <c r="EA99" s="163"/>
      <c r="EB99" s="163"/>
      <c r="EC99" s="163"/>
      <c r="ED99" s="163"/>
      <c r="EE99" s="163"/>
      <c r="EF99" s="163"/>
      <c r="EG99" s="158"/>
      <c r="EH99" s="158"/>
      <c r="EI99" s="158"/>
      <c r="EJ99" s="163"/>
      <c r="EK99" s="163"/>
      <c r="EL99" s="163"/>
      <c r="EM99" s="163"/>
      <c r="EN99" s="158">
        <f t="shared" ref="EN99:ER99" si="425">100*""/79</f>
        <v>0</v>
      </c>
      <c r="EO99" s="158">
        <f t="shared" si="425"/>
        <v>0</v>
      </c>
      <c r="EP99" s="158">
        <f t="shared" si="425"/>
        <v>0</v>
      </c>
      <c r="EQ99" s="158">
        <f t="shared" si="425"/>
        <v>0</v>
      </c>
      <c r="ER99" s="158">
        <f t="shared" si="425"/>
        <v>0</v>
      </c>
      <c r="ES99" s="158"/>
      <c r="ET99" s="163"/>
      <c r="EU99" s="163"/>
      <c r="EV99" s="163"/>
      <c r="EW99" s="163"/>
      <c r="EX99" s="163"/>
      <c r="EY99" s="158"/>
      <c r="EZ99" s="158"/>
      <c r="FA99" s="158"/>
      <c r="FB99" s="158"/>
      <c r="FC99" s="158"/>
      <c r="FD99" s="158"/>
      <c r="FE99" s="158"/>
      <c r="FF99" s="158"/>
      <c r="FG99" s="158"/>
      <c r="FH99" s="158"/>
      <c r="FI99" s="158"/>
      <c r="FJ99" s="158"/>
      <c r="FK99" s="158"/>
      <c r="FL99" s="158"/>
      <c r="FM99" s="158"/>
      <c r="FN99" s="158"/>
      <c r="FO99" s="158">
        <f t="shared" ref="FO99:FP99" si="426">100*""/79</f>
        <v>0</v>
      </c>
      <c r="FP99" s="158">
        <f t="shared" si="426"/>
        <v>0</v>
      </c>
      <c r="FQ99" s="158"/>
      <c r="FR99" s="158">
        <f t="shared" ref="FR99:FS99" si="427">100*""/79</f>
        <v>0</v>
      </c>
      <c r="FS99" s="158">
        <f t="shared" si="427"/>
        <v>0</v>
      </c>
      <c r="FT99" s="158"/>
      <c r="FU99" s="158"/>
      <c r="FV99" s="163"/>
      <c r="FW99" s="158">
        <f t="shared" ref="FW99:GR99" si="428">100*""/79</f>
        <v>0</v>
      </c>
      <c r="FX99" s="158">
        <f t="shared" si="428"/>
        <v>0</v>
      </c>
      <c r="FY99" s="158">
        <f t="shared" si="428"/>
        <v>0</v>
      </c>
      <c r="FZ99" s="158">
        <f t="shared" si="428"/>
        <v>0</v>
      </c>
      <c r="GA99" s="158">
        <f t="shared" si="428"/>
        <v>0</v>
      </c>
      <c r="GB99" s="158">
        <f t="shared" si="428"/>
        <v>0</v>
      </c>
      <c r="GC99" s="158">
        <f t="shared" si="428"/>
        <v>0</v>
      </c>
      <c r="GD99" s="158">
        <f t="shared" si="428"/>
        <v>0</v>
      </c>
      <c r="GE99" s="158">
        <f t="shared" si="428"/>
        <v>0</v>
      </c>
      <c r="GF99" s="158">
        <f t="shared" si="428"/>
        <v>0</v>
      </c>
      <c r="GG99" s="158">
        <f t="shared" si="428"/>
        <v>0</v>
      </c>
      <c r="GH99" s="158">
        <f t="shared" si="428"/>
        <v>0</v>
      </c>
      <c r="GI99" s="158">
        <f t="shared" si="428"/>
        <v>0</v>
      </c>
      <c r="GJ99" s="158">
        <f t="shared" si="428"/>
        <v>0</v>
      </c>
      <c r="GK99" s="158">
        <f t="shared" si="428"/>
        <v>0</v>
      </c>
      <c r="GL99" s="158">
        <f t="shared" si="428"/>
        <v>0</v>
      </c>
      <c r="GM99" s="158">
        <f t="shared" si="428"/>
        <v>0</v>
      </c>
      <c r="GN99" s="158">
        <f t="shared" si="428"/>
        <v>0</v>
      </c>
      <c r="GO99" s="158">
        <f t="shared" si="428"/>
        <v>0</v>
      </c>
      <c r="GP99" s="158">
        <f t="shared" si="428"/>
        <v>0</v>
      </c>
      <c r="GQ99" s="158">
        <f t="shared" si="428"/>
        <v>0</v>
      </c>
      <c r="GR99" s="158">
        <f t="shared" si="428"/>
        <v>0</v>
      </c>
      <c r="GS99" s="158"/>
      <c r="GT99" s="158"/>
      <c r="GU99" s="158"/>
      <c r="GV99" s="158"/>
      <c r="GW99" s="158"/>
      <c r="GX99" s="158"/>
      <c r="GY99" s="158"/>
      <c r="GZ99" s="158"/>
      <c r="HA99" s="158"/>
      <c r="HB99" s="158"/>
      <c r="HC99" s="158"/>
      <c r="HD99" s="158"/>
      <c r="HE99" s="158"/>
      <c r="HF99" s="158"/>
      <c r="HG99" s="158"/>
      <c r="HH99" s="158"/>
      <c r="HI99" s="158"/>
      <c r="HJ99" s="158"/>
      <c r="HK99" s="158"/>
      <c r="HL99" s="158"/>
      <c r="HM99" s="158"/>
      <c r="HN99" s="158"/>
      <c r="HO99" s="158"/>
      <c r="HP99" s="158"/>
      <c r="HQ99" s="158"/>
      <c r="HR99" s="158"/>
      <c r="HS99" s="158"/>
      <c r="HT99" s="158"/>
      <c r="HU99" s="158"/>
      <c r="HV99" s="158"/>
      <c r="HW99" s="158"/>
      <c r="HX99" s="158"/>
      <c r="HY99" s="158"/>
      <c r="HZ99" s="158"/>
      <c r="IA99" s="158"/>
      <c r="IB99" s="158"/>
      <c r="IC99" s="158"/>
      <c r="ID99" s="158"/>
      <c r="IE99" s="158"/>
      <c r="IF99" s="158"/>
      <c r="IG99" s="158"/>
      <c r="IH99" s="158"/>
      <c r="II99" s="158"/>
      <c r="IJ99" s="158"/>
      <c r="IK99" s="158"/>
      <c r="IL99" s="158"/>
      <c r="IM99" s="158"/>
      <c r="IN99" s="158"/>
      <c r="IO99" s="158"/>
      <c r="IP99" s="158"/>
    </row>
    <row r="100" ht="1.5" customHeight="1">
      <c r="A100" s="1"/>
      <c r="C100" s="164"/>
      <c r="D100" s="10"/>
      <c r="E100" s="165"/>
      <c r="F100" s="10"/>
      <c r="G100" s="10"/>
      <c r="I100" s="10"/>
      <c r="K100" s="10"/>
      <c r="L100" s="10"/>
      <c r="M100" s="10"/>
      <c r="N100" s="10"/>
      <c r="O100" s="10"/>
      <c r="P100" s="10"/>
      <c r="Q100" s="10"/>
      <c r="Z100" s="10"/>
      <c r="AC100" s="127"/>
      <c r="AI100" s="80" t="s">
        <v>1256</v>
      </c>
      <c r="AJ100" s="61">
        <f t="shared" ref="AJ100:AK100" si="429">STDEV(AJ3:AJ73)</f>
        <v>64.53692943</v>
      </c>
      <c r="AK100" s="61">
        <f t="shared" si="429"/>
        <v>8.077564205</v>
      </c>
      <c r="AR100" s="74"/>
      <c r="AS100" s="74"/>
      <c r="AT100" s="74"/>
      <c r="AU100" s="74"/>
      <c r="AV100" s="74"/>
      <c r="AW100" s="74"/>
      <c r="AX100" s="74"/>
      <c r="AY100" s="74"/>
      <c r="AZ100" s="74"/>
      <c r="BA100" s="74"/>
      <c r="BB100" s="74"/>
      <c r="BC100" s="74"/>
      <c r="BD100" s="74"/>
      <c r="BE100" s="74"/>
      <c r="BF100" s="74"/>
      <c r="BG100" s="74"/>
      <c r="BH100" s="74"/>
      <c r="BI100" s="74"/>
      <c r="BJ100" s="74"/>
      <c r="BK100" s="74"/>
      <c r="BL100" s="74"/>
      <c r="BM100" s="74"/>
      <c r="BN100" s="74"/>
      <c r="BO100" s="74"/>
      <c r="BP100" s="74"/>
      <c r="BQ100" s="74"/>
      <c r="BR100" s="74"/>
      <c r="BS100" s="74"/>
      <c r="BT100" s="74"/>
      <c r="BU100" s="74"/>
      <c r="BV100" s="74"/>
      <c r="BW100" s="74"/>
      <c r="BX100" s="74"/>
      <c r="BY100" s="74"/>
      <c r="BZ100" s="74"/>
      <c r="CA100" s="74"/>
      <c r="CB100" s="74"/>
      <c r="CC100" s="74"/>
      <c r="CD100" s="74"/>
      <c r="CE100" s="74"/>
      <c r="CF100" s="74"/>
      <c r="CG100" s="74"/>
      <c r="CH100" s="74"/>
      <c r="CI100" s="166"/>
      <c r="CJ100" s="74"/>
      <c r="CK100" s="74"/>
      <c r="CL100" s="74"/>
      <c r="CM100" s="74"/>
      <c r="CN100" s="74"/>
      <c r="CO100" s="74"/>
      <c r="CP100" s="74"/>
      <c r="CQ100" s="74"/>
      <c r="DS100" s="74"/>
      <c r="DT100" s="74"/>
      <c r="DU100" s="74"/>
      <c r="DV100" s="74"/>
      <c r="DW100" s="74"/>
      <c r="DX100" s="74"/>
      <c r="DY100" s="74"/>
      <c r="DZ100" s="74"/>
      <c r="EA100" s="74"/>
      <c r="EB100" s="74"/>
      <c r="EC100" s="74"/>
      <c r="ED100" s="74"/>
      <c r="EE100" s="74"/>
      <c r="EF100" s="74"/>
      <c r="EJ100" s="74"/>
      <c r="EK100" s="74"/>
      <c r="EL100" s="74"/>
      <c r="EM100" s="74"/>
      <c r="ET100" s="74"/>
      <c r="EU100" s="74"/>
      <c r="EV100" s="74"/>
      <c r="EW100" s="74"/>
      <c r="EX100" s="74"/>
      <c r="FV100" s="74"/>
      <c r="GP100" s="116"/>
    </row>
  </sheetData>
  <mergeCells count="26">
    <mergeCell ref="Q1:Y1"/>
    <mergeCell ref="AR1:BB1"/>
    <mergeCell ref="BC1:BI1"/>
    <mergeCell ref="BO1:BU1"/>
    <mergeCell ref="BV1:BX1"/>
    <mergeCell ref="BY1:CE1"/>
    <mergeCell ref="K99:P99"/>
    <mergeCell ref="CG1:CI1"/>
    <mergeCell ref="CK1:CM1"/>
    <mergeCell ref="CN1:CU1"/>
    <mergeCell ref="CV1:DG1"/>
    <mergeCell ref="DH1:DM1"/>
    <mergeCell ref="EH1:EH2"/>
    <mergeCell ref="EM1:EM2"/>
    <mergeCell ref="GL1:GM1"/>
    <mergeCell ref="GN1:GT1"/>
    <mergeCell ref="FJ1:FN1"/>
    <mergeCell ref="FF1:FI1"/>
    <mergeCell ref="DN1:DR1"/>
    <mergeCell ref="FO1:FP1"/>
    <mergeCell ref="FV1:FV2"/>
    <mergeCell ref="EA1:EE1"/>
    <mergeCell ref="FW1:GB1"/>
    <mergeCell ref="GC1:GK1"/>
    <mergeCell ref="EN1:ER1"/>
    <mergeCell ref="FR1:FS1"/>
  </mergeCells>
  <conditionalFormatting sqref="F3:F8">
    <cfRule type="containsBlanks" dxfId="0" priority="1">
      <formula>LEN(TRIM(F3))=0</formula>
    </cfRule>
  </conditionalFormatting>
  <conditionalFormatting sqref="F10">
    <cfRule type="containsBlanks" dxfId="0" priority="2">
      <formula>LEN(TRIM(F10))=0</formula>
    </cfRule>
  </conditionalFormatting>
  <conditionalFormatting sqref="F12:F18">
    <cfRule type="containsBlanks" dxfId="0" priority="3">
      <formula>LEN(TRIM(F12))=0</formula>
    </cfRule>
  </conditionalFormatting>
  <conditionalFormatting sqref="F20">
    <cfRule type="containsBlanks" dxfId="0" priority="4">
      <formula>LEN(TRIM(F20))=0</formula>
    </cfRule>
  </conditionalFormatting>
  <conditionalFormatting sqref="F22:F26">
    <cfRule type="containsBlanks" dxfId="0" priority="5">
      <formula>LEN(TRIM(F22))=0</formula>
    </cfRule>
  </conditionalFormatting>
  <conditionalFormatting sqref="F33">
    <cfRule type="containsBlanks" dxfId="0" priority="6">
      <formula>LEN(TRIM(F33))=0</formula>
    </cfRule>
  </conditionalFormatting>
  <conditionalFormatting sqref="F35:F36">
    <cfRule type="containsBlanks" dxfId="0" priority="7">
      <formula>LEN(TRIM(F35))=0</formula>
    </cfRule>
  </conditionalFormatting>
  <conditionalFormatting sqref="F40">
    <cfRule type="containsBlanks" dxfId="0" priority="8">
      <formula>LEN(TRIM(F40))=0</formula>
    </cfRule>
  </conditionalFormatting>
  <conditionalFormatting sqref="F55:F56">
    <cfRule type="containsBlanks" dxfId="0" priority="9">
      <formula>LEN(TRIM(F55))=0</formula>
    </cfRule>
  </conditionalFormatting>
  <conditionalFormatting sqref="F58">
    <cfRule type="containsBlanks" dxfId="0" priority="10">
      <formula>LEN(TRIM(F58))=0</formula>
    </cfRule>
  </conditionalFormatting>
  <conditionalFormatting sqref="F61">
    <cfRule type="containsBlanks" dxfId="0" priority="11">
      <formula>LEN(TRIM(F61))=0</formula>
    </cfRule>
  </conditionalFormatting>
  <conditionalFormatting sqref="F63">
    <cfRule type="containsBlanks" dxfId="0" priority="12">
      <formula>LEN(TRIM(F63))=0</formula>
    </cfRule>
  </conditionalFormatting>
  <conditionalFormatting sqref="F65:F66">
    <cfRule type="containsBlanks" dxfId="0" priority="13">
      <formula>LEN(TRIM(F65))=0</formula>
    </cfRule>
  </conditionalFormatting>
  <conditionalFormatting sqref="F68">
    <cfRule type="containsBlanks" dxfId="0" priority="14">
      <formula>LEN(TRIM(F68))=0</formula>
    </cfRule>
  </conditionalFormatting>
  <conditionalFormatting sqref="F71:F73">
    <cfRule type="containsBlanks" dxfId="0" priority="15">
      <formula>LEN(TRIM(F71))=0</formula>
    </cfRule>
  </conditionalFormatting>
  <conditionalFormatting sqref="F75">
    <cfRule type="containsBlanks" dxfId="0" priority="16">
      <formula>LEN(TRIM(F75))=0</formula>
    </cfRule>
  </conditionalFormatting>
  <conditionalFormatting sqref="F78">
    <cfRule type="containsBlanks" dxfId="0" priority="17">
      <formula>LEN(TRIM(F78))=0</formula>
    </cfRule>
  </conditionalFormatting>
  <conditionalFormatting sqref="F80:F85">
    <cfRule type="containsBlanks" dxfId="0" priority="18">
      <formula>LEN(TRIM(F80))=0</formula>
    </cfRule>
  </conditionalFormatting>
  <conditionalFormatting sqref="F87:F89">
    <cfRule type="containsBlanks" dxfId="0" priority="19">
      <formula>LEN(TRIM(F87))=0</formula>
    </cfRule>
  </conditionalFormatting>
  <conditionalFormatting sqref="F91:F93">
    <cfRule type="containsBlanks" dxfId="0" priority="20">
      <formula>LEN(TRIM(F91))=0</formula>
    </cfRule>
  </conditionalFormatting>
  <conditionalFormatting sqref="F96:F97">
    <cfRule type="containsBlanks" dxfId="0" priority="21">
      <formula>LEN(TRIM(F96))=0</formula>
    </cfRule>
  </conditionalFormatting>
  <conditionalFormatting sqref="AF1:AF100">
    <cfRule type="cellIs" dxfId="1" priority="22" operator="equal">
      <formula>0</formula>
    </cfRule>
  </conditionalFormatting>
  <conditionalFormatting sqref="H1:H100">
    <cfRule type="containsBlanks" dxfId="2" priority="23">
      <formula>LEN(TRIM(H1))=0</formula>
    </cfRule>
  </conditionalFormatting>
  <conditionalFormatting sqref="D2:D100">
    <cfRule type="containsBlanks" dxfId="3" priority="24">
      <formula>LEN(TRIM(D2))=0</formula>
    </cfRule>
  </conditionalFormatting>
  <conditionalFormatting sqref="E98">
    <cfRule type="containsBlanks" dxfId="3" priority="25">
      <formula>LEN(TRIM(E98))=0</formula>
    </cfRule>
  </conditionalFormatting>
  <conditionalFormatting sqref="F9">
    <cfRule type="containsBlanks" dxfId="3" priority="26">
      <formula>LEN(TRIM(F9))=0</formula>
    </cfRule>
  </conditionalFormatting>
  <conditionalFormatting sqref="F11">
    <cfRule type="containsBlanks" dxfId="3" priority="27">
      <formula>LEN(TRIM(F11))=0</formula>
    </cfRule>
  </conditionalFormatting>
  <conditionalFormatting sqref="F19">
    <cfRule type="containsBlanks" dxfId="3" priority="28">
      <formula>LEN(TRIM(F19))=0</formula>
    </cfRule>
  </conditionalFormatting>
  <conditionalFormatting sqref="F21">
    <cfRule type="containsBlanks" dxfId="3" priority="29">
      <formula>LEN(TRIM(F21))=0</formula>
    </cfRule>
  </conditionalFormatting>
  <conditionalFormatting sqref="F27:F32">
    <cfRule type="containsBlanks" dxfId="3" priority="30">
      <formula>LEN(TRIM(F27))=0</formula>
    </cfRule>
  </conditionalFormatting>
  <conditionalFormatting sqref="F34">
    <cfRule type="containsBlanks" dxfId="3" priority="31">
      <formula>LEN(TRIM(F34))=0</formula>
    </cfRule>
  </conditionalFormatting>
  <conditionalFormatting sqref="F37:F39">
    <cfRule type="containsBlanks" dxfId="3" priority="32">
      <formula>LEN(TRIM(F37))=0</formula>
    </cfRule>
  </conditionalFormatting>
  <conditionalFormatting sqref="F41:F54">
    <cfRule type="containsBlanks" dxfId="3" priority="33">
      <formula>LEN(TRIM(F41))=0</formula>
    </cfRule>
  </conditionalFormatting>
  <conditionalFormatting sqref="F57">
    <cfRule type="containsBlanks" dxfId="3" priority="34">
      <formula>LEN(TRIM(F57))=0</formula>
    </cfRule>
  </conditionalFormatting>
  <conditionalFormatting sqref="F59:F60">
    <cfRule type="containsBlanks" dxfId="3" priority="35">
      <formula>LEN(TRIM(F59))=0</formula>
    </cfRule>
  </conditionalFormatting>
  <conditionalFormatting sqref="F62">
    <cfRule type="containsBlanks" dxfId="3" priority="36">
      <formula>LEN(TRIM(F62))=0</formula>
    </cfRule>
  </conditionalFormatting>
  <conditionalFormatting sqref="F64">
    <cfRule type="containsBlanks" dxfId="3" priority="37">
      <formula>LEN(TRIM(F64))=0</formula>
    </cfRule>
  </conditionalFormatting>
  <conditionalFormatting sqref="F67">
    <cfRule type="containsBlanks" dxfId="3" priority="38">
      <formula>LEN(TRIM(F67))=0</formula>
    </cfRule>
  </conditionalFormatting>
  <conditionalFormatting sqref="F69:F70">
    <cfRule type="containsBlanks" dxfId="3" priority="39">
      <formula>LEN(TRIM(F69))=0</formula>
    </cfRule>
  </conditionalFormatting>
  <conditionalFormatting sqref="F74">
    <cfRule type="containsBlanks" dxfId="3" priority="40">
      <formula>LEN(TRIM(F74))=0</formula>
    </cfRule>
  </conditionalFormatting>
  <conditionalFormatting sqref="F76:F77">
    <cfRule type="containsBlanks" dxfId="3" priority="41">
      <formula>LEN(TRIM(F76))=0</formula>
    </cfRule>
  </conditionalFormatting>
  <conditionalFormatting sqref="F79">
    <cfRule type="containsBlanks" dxfId="3" priority="42">
      <formula>LEN(TRIM(F79))=0</formula>
    </cfRule>
  </conditionalFormatting>
  <conditionalFormatting sqref="F86">
    <cfRule type="containsBlanks" dxfId="3" priority="43">
      <formula>LEN(TRIM(F86))=0</formula>
    </cfRule>
  </conditionalFormatting>
  <conditionalFormatting sqref="F90">
    <cfRule type="containsBlanks" dxfId="3" priority="44">
      <formula>LEN(TRIM(F90))=0</formula>
    </cfRule>
  </conditionalFormatting>
  <conditionalFormatting sqref="F94:F95">
    <cfRule type="containsBlanks" dxfId="3" priority="45">
      <formula>LEN(TRIM(F94))=0</formula>
    </cfRule>
  </conditionalFormatting>
  <conditionalFormatting sqref="F99:F100">
    <cfRule type="containsBlanks" dxfId="3" priority="46">
      <formula>LEN(TRIM(F99))=0</formula>
    </cfRule>
  </conditionalFormatting>
  <conditionalFormatting sqref="I2:I100">
    <cfRule type="containsBlanks" dxfId="3" priority="47">
      <formula>LEN(TRIM(I2))=0</formula>
    </cfRule>
  </conditionalFormatting>
  <conditionalFormatting sqref="AR98:HZ98">
    <cfRule type="containsBlanks" dxfId="3" priority="48">
      <formula>LEN(TRIM(AR98))=0</formula>
    </cfRule>
  </conditionalFormatting>
  <conditionalFormatting sqref="Q1:Q97">
    <cfRule type="cellIs" dxfId="4" priority="49" operator="equal">
      <formula>"FALSE"</formula>
    </cfRule>
  </conditionalFormatting>
  <conditionalFormatting sqref="S1:Y100">
    <cfRule type="cellIs" dxfId="4" priority="50" operator="equal">
      <formula>"FALSE"</formula>
    </cfRule>
  </conditionalFormatting>
  <conditionalFormatting sqref="Q1:Q97">
    <cfRule type="cellIs" dxfId="5" priority="51" operator="equal">
      <formula>"TRUE"</formula>
    </cfRule>
  </conditionalFormatting>
  <conditionalFormatting sqref="S1:Y100">
    <cfRule type="cellIs" dxfId="5" priority="52" operator="equal">
      <formula>"TRUE"</formula>
    </cfRule>
  </conditionalFormatting>
  <conditionalFormatting sqref="S1:Y100">
    <cfRule type="containsBlanks" dxfId="6" priority="53">
      <formula>LEN(TRIM(S1))=0</formula>
    </cfRule>
  </conditionalFormatting>
  <hyperlinks>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GO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GO84"/>
    <hyperlink r:id="rId86" ref="C85"/>
    <hyperlink r:id="rId87" ref="C86"/>
    <hyperlink r:id="rId88" ref="C87"/>
    <hyperlink r:id="rId89" ref="C88"/>
    <hyperlink r:id="rId90" ref="C89"/>
    <hyperlink r:id="rId91" ref="C90"/>
    <hyperlink r:id="rId92" ref="C91"/>
    <hyperlink r:id="rId93" ref="C92"/>
    <hyperlink r:id="rId94" ref="C93"/>
    <hyperlink r:id="rId95" ref="C94"/>
    <hyperlink r:id="rId96" ref="C95"/>
    <hyperlink r:id="rId97" ref="C96"/>
    <hyperlink r:id="rId98" ref="C97"/>
  </hyperlinks>
  <drawing r:id="rId99"/>
  <legacyDrawing r:id="rId10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cols>
    <col customWidth="1" min="1" max="10" width="14.0"/>
    <col customWidth="1" min="11" max="11" width="6.63"/>
    <col customWidth="1" min="12" max="20" width="15.13"/>
  </cols>
  <sheetData>
    <row r="3">
      <c r="A3" s="167" t="s">
        <v>1257</v>
      </c>
      <c r="C3" s="168"/>
      <c r="D3" s="168"/>
      <c r="E3" s="168"/>
      <c r="F3" s="168"/>
    </row>
    <row r="4">
      <c r="B4" s="80" t="s">
        <v>1258</v>
      </c>
      <c r="C4" s="169" t="s">
        <v>1259</v>
      </c>
      <c r="D4" s="169" t="s">
        <v>1260</v>
      </c>
      <c r="E4" s="169" t="s">
        <v>1261</v>
      </c>
      <c r="F4" s="170"/>
    </row>
    <row r="5">
      <c r="A5" s="171">
        <v>1991.0</v>
      </c>
      <c r="B5" s="172">
        <f t="array" ref="B5">countif('SLR Repository'!H:H,A5)</f>
        <v>0</v>
      </c>
      <c r="C5" s="173">
        <v>2.0</v>
      </c>
      <c r="D5" s="174">
        <v>0.0</v>
      </c>
      <c r="E5" s="174">
        <v>12.0</v>
      </c>
      <c r="F5" s="175"/>
    </row>
    <row r="6">
      <c r="A6" s="172">
        <f t="shared" ref="A6:A25" si="1">A5+1</f>
        <v>1992</v>
      </c>
      <c r="B6" s="172">
        <f t="array" ref="B6">countif('SLR Repository'!H:H,A6)</f>
        <v>0</v>
      </c>
      <c r="C6" s="173">
        <v>1.0</v>
      </c>
      <c r="D6" s="174">
        <v>1.0</v>
      </c>
      <c r="E6" s="174">
        <v>7.0</v>
      </c>
      <c r="F6" s="175"/>
    </row>
    <row r="7">
      <c r="A7" s="172">
        <f t="shared" si="1"/>
        <v>1993</v>
      </c>
      <c r="B7" s="172">
        <f t="array" ref="B7">countif('SLR Repository'!H:H,A7)</f>
        <v>0</v>
      </c>
      <c r="C7" s="173">
        <v>0.0</v>
      </c>
      <c r="D7" s="174">
        <v>2.0</v>
      </c>
      <c r="E7" s="174">
        <v>15.0</v>
      </c>
      <c r="F7" s="175"/>
    </row>
    <row r="8">
      <c r="A8" s="172">
        <f t="shared" si="1"/>
        <v>1994</v>
      </c>
      <c r="B8" s="172">
        <f t="array" ref="B8">countif('SLR Repository'!H:H,A8)</f>
        <v>0</v>
      </c>
      <c r="C8" s="173">
        <v>0.0</v>
      </c>
      <c r="D8" s="174">
        <v>2.0</v>
      </c>
      <c r="E8" s="174">
        <v>19.0</v>
      </c>
      <c r="F8" s="175"/>
    </row>
    <row r="9">
      <c r="A9" s="172">
        <f t="shared" si="1"/>
        <v>1995</v>
      </c>
      <c r="B9" s="172">
        <f t="array" ref="B9">countif('SLR Repository'!H:H,A9)</f>
        <v>0</v>
      </c>
      <c r="C9" s="173">
        <v>0.0</v>
      </c>
      <c r="D9" s="174">
        <v>6.0</v>
      </c>
      <c r="E9" s="174">
        <v>9.0</v>
      </c>
      <c r="F9" s="175"/>
    </row>
    <row r="10">
      <c r="A10" s="172">
        <f t="shared" si="1"/>
        <v>1996</v>
      </c>
      <c r="B10" s="172">
        <f t="array" ref="B10">countif('SLR Repository'!H:H,A10)</f>
        <v>0</v>
      </c>
      <c r="C10" s="173">
        <v>2.0</v>
      </c>
      <c r="D10" s="174">
        <v>4.0</v>
      </c>
      <c r="E10" s="174">
        <v>10.0</v>
      </c>
      <c r="F10" s="175"/>
    </row>
    <row r="11">
      <c r="A11" s="172">
        <f t="shared" si="1"/>
        <v>1997</v>
      </c>
      <c r="B11" s="172">
        <f t="array" ref="B11">countif('SLR Repository'!H:H,A11)</f>
        <v>0</v>
      </c>
      <c r="C11" s="173">
        <v>1.0</v>
      </c>
      <c r="D11" s="174">
        <v>8.0</v>
      </c>
      <c r="E11" s="174">
        <v>9.0</v>
      </c>
      <c r="F11" s="175"/>
    </row>
    <row r="12">
      <c r="A12" s="172">
        <f t="shared" si="1"/>
        <v>1998</v>
      </c>
      <c r="B12" s="172">
        <f t="array" ref="B12">countif('SLR Repository'!H:H,A12)</f>
        <v>0</v>
      </c>
      <c r="C12" s="173">
        <v>1.0</v>
      </c>
      <c r="D12" s="174">
        <v>13.0</v>
      </c>
      <c r="E12" s="174">
        <v>5.0</v>
      </c>
      <c r="F12" s="175"/>
    </row>
    <row r="13">
      <c r="A13" s="172">
        <f t="shared" si="1"/>
        <v>1999</v>
      </c>
      <c r="B13" s="172">
        <f t="array" ref="B13">countif('SLR Repository'!H:H,A13)</f>
        <v>0</v>
      </c>
      <c r="C13" s="173">
        <v>2.0</v>
      </c>
      <c r="D13" s="174">
        <v>7.0</v>
      </c>
      <c r="E13" s="174">
        <v>12.0</v>
      </c>
      <c r="F13" s="175"/>
    </row>
    <row r="14">
      <c r="A14" s="172">
        <f t="shared" si="1"/>
        <v>2000</v>
      </c>
      <c r="B14" s="172">
        <f t="array" ref="B14">countif('SLR Repository'!H:H,A14)</f>
        <v>1</v>
      </c>
      <c r="C14" s="173">
        <v>4.0</v>
      </c>
      <c r="D14" s="174">
        <v>8.0</v>
      </c>
      <c r="E14" s="174">
        <v>11.0</v>
      </c>
      <c r="F14" s="175"/>
    </row>
    <row r="15">
      <c r="A15" s="172">
        <f t="shared" si="1"/>
        <v>2001</v>
      </c>
      <c r="B15" s="172">
        <f t="array" ref="B15">countif('SLR Repository'!H:H,A15)</f>
        <v>2</v>
      </c>
      <c r="C15" s="173">
        <v>8.0</v>
      </c>
      <c r="D15" s="174">
        <v>11.0</v>
      </c>
      <c r="E15" s="174">
        <v>25.0</v>
      </c>
      <c r="F15" s="175"/>
    </row>
    <row r="16">
      <c r="A16" s="172">
        <f t="shared" si="1"/>
        <v>2002</v>
      </c>
      <c r="B16" s="172">
        <f t="array" ref="B16">countif('SLR Repository'!H:H,A16)</f>
        <v>6</v>
      </c>
      <c r="C16" s="173">
        <v>1.0</v>
      </c>
      <c r="D16" s="174">
        <v>15.0</v>
      </c>
      <c r="E16" s="174">
        <v>12.0</v>
      </c>
      <c r="F16" s="175"/>
    </row>
    <row r="17">
      <c r="A17" s="172">
        <f t="shared" si="1"/>
        <v>2003</v>
      </c>
      <c r="B17" s="172">
        <f t="array" ref="B17">countif('SLR Repository'!H:H,A17)</f>
        <v>0</v>
      </c>
      <c r="C17" s="173">
        <v>8.0</v>
      </c>
      <c r="D17" s="174">
        <v>22.0</v>
      </c>
      <c r="E17" s="174">
        <v>12.0</v>
      </c>
      <c r="F17" s="175"/>
    </row>
    <row r="18">
      <c r="A18" s="172">
        <f t="shared" si="1"/>
        <v>2004</v>
      </c>
      <c r="B18" s="172">
        <f t="array" ref="B18">countif('SLR Repository'!H:H,A18)</f>
        <v>5</v>
      </c>
      <c r="C18" s="173">
        <v>3.0</v>
      </c>
      <c r="D18" s="174">
        <v>20.0</v>
      </c>
      <c r="E18" s="174">
        <v>14.0</v>
      </c>
      <c r="F18" s="175"/>
    </row>
    <row r="19">
      <c r="A19" s="172">
        <f t="shared" si="1"/>
        <v>2005</v>
      </c>
      <c r="B19" s="172">
        <f t="array" ref="B19">countif('SLR Repository'!H:H,A19)</f>
        <v>12</v>
      </c>
      <c r="C19" s="173">
        <v>8.0</v>
      </c>
      <c r="D19" s="174">
        <v>30.0</v>
      </c>
      <c r="E19" s="174">
        <v>23.0</v>
      </c>
      <c r="F19" s="175"/>
    </row>
    <row r="20">
      <c r="A20" s="172">
        <f t="shared" si="1"/>
        <v>2006</v>
      </c>
      <c r="B20" s="172">
        <f t="array" ref="B20">countif('SLR Repository'!H:H,A20)</f>
        <v>11</v>
      </c>
      <c r="C20" s="173">
        <v>14.0</v>
      </c>
      <c r="D20" s="174">
        <v>32.0</v>
      </c>
      <c r="E20" s="174">
        <v>38.0</v>
      </c>
      <c r="F20" s="175"/>
    </row>
    <row r="21">
      <c r="A21" s="172">
        <f t="shared" si="1"/>
        <v>2007</v>
      </c>
      <c r="B21" s="172">
        <f t="array" ref="B21">countif('SLR Repository'!H:H,A21)</f>
        <v>3</v>
      </c>
      <c r="C21" s="173">
        <v>15.0</v>
      </c>
      <c r="D21" s="174">
        <v>45.0</v>
      </c>
      <c r="E21" s="174">
        <v>30.0</v>
      </c>
      <c r="F21" s="175"/>
    </row>
    <row r="22">
      <c r="A22" s="172">
        <f t="shared" si="1"/>
        <v>2008</v>
      </c>
      <c r="B22" s="172">
        <f t="array" ref="B22">countif('SLR Repository'!H:H,A22)</f>
        <v>12</v>
      </c>
      <c r="C22" s="173">
        <v>11.0</v>
      </c>
      <c r="D22" s="174">
        <v>56.0</v>
      </c>
      <c r="E22" s="174">
        <v>26.0</v>
      </c>
      <c r="F22" s="175"/>
    </row>
    <row r="23">
      <c r="A23" s="172">
        <f t="shared" si="1"/>
        <v>2009</v>
      </c>
      <c r="B23" s="172">
        <f t="array" ref="B23">countif('SLR Repository'!H:H,A23)</f>
        <v>7</v>
      </c>
      <c r="C23" s="173">
        <v>17.0</v>
      </c>
      <c r="D23" s="174">
        <v>68.0</v>
      </c>
      <c r="E23" s="176"/>
      <c r="F23" s="175"/>
    </row>
    <row r="24">
      <c r="A24" s="172">
        <f t="shared" si="1"/>
        <v>2010</v>
      </c>
      <c r="B24" s="172">
        <f t="array" ref="B24">countif('SLR Repository'!H:H,A24)</f>
        <v>15</v>
      </c>
      <c r="C24" s="173">
        <v>19.0</v>
      </c>
      <c r="D24" s="174">
        <v>84.0</v>
      </c>
      <c r="E24" s="176"/>
      <c r="F24" s="175"/>
    </row>
    <row r="25">
      <c r="A25" s="172">
        <f t="shared" si="1"/>
        <v>2011</v>
      </c>
      <c r="B25" s="172">
        <f t="array" ref="B25">countif('SLR Repository'!H:H,A25)</f>
        <v>10</v>
      </c>
      <c r="C25" s="173">
        <v>5.0</v>
      </c>
      <c r="D25" s="174">
        <v>40.0</v>
      </c>
      <c r="E25" s="176"/>
      <c r="F25" s="175"/>
    </row>
    <row r="26">
      <c r="A26" s="171">
        <v>2012.0</v>
      </c>
      <c r="B26" s="172">
        <f t="array" ref="B26">countif('SLR Repository'!H:H,A26)</f>
        <v>7</v>
      </c>
      <c r="C26" s="177"/>
      <c r="D26" s="178"/>
      <c r="E26" s="178"/>
    </row>
    <row r="27">
      <c r="A27" s="171">
        <v>2013.0</v>
      </c>
      <c r="B27" s="172">
        <f t="array" ref="B27">countif('SLR Repository'!H:H,A27)</f>
        <v>4</v>
      </c>
      <c r="C27" s="177"/>
      <c r="D27" s="178"/>
      <c r="E27" s="178"/>
    </row>
    <row r="28">
      <c r="A28" s="179" t="s">
        <v>1262</v>
      </c>
      <c r="B28" s="180">
        <f>SUM(B5:B27)</f>
        <v>95</v>
      </c>
      <c r="C28" s="180">
        <f t="shared" ref="C28:E28" si="2">SUM(C5:C25)</f>
        <v>122</v>
      </c>
      <c r="D28" s="180">
        <f t="shared" si="2"/>
        <v>474</v>
      </c>
      <c r="E28" s="180">
        <f t="shared" si="2"/>
        <v>289</v>
      </c>
    </row>
    <row r="34">
      <c r="A34" s="167" t="s">
        <v>1263</v>
      </c>
      <c r="C34" s="181" t="s">
        <v>1264</v>
      </c>
    </row>
    <row r="35">
      <c r="A35" s="182" t="s">
        <v>266</v>
      </c>
      <c r="B35" s="183">
        <f>IFERROR(__xludf.DUMMYFUNCTION("COUNTA( IFERROR( FILTER( 'SM Repository'!$AA:$AA , SEARCH( A35 , 'SM Repository'!$AA:$AA ) ) ))"),40.0)</f>
        <v>40</v>
      </c>
      <c r="C35" s="108">
        <f t="shared" ref="C35:C51" si="3">100*B35/79</f>
        <v>50.63291139</v>
      </c>
    </row>
    <row r="36">
      <c r="A36" s="182" t="s">
        <v>214</v>
      </c>
      <c r="B36" s="183">
        <f>IFERROR(__xludf.DUMMYFUNCTION("COUNTA( IFERROR( FILTER( 'SM Repository'!$AA:$AA , SEARCH( A36 , 'SM Repository'!$AA:$AA ) ) ))"),18.0)</f>
        <v>18</v>
      </c>
      <c r="C36" s="108">
        <f t="shared" si="3"/>
        <v>22.78481013</v>
      </c>
    </row>
    <row r="37">
      <c r="A37" s="182" t="s">
        <v>464</v>
      </c>
      <c r="B37" s="183">
        <f>IFERROR(__xludf.DUMMYFUNCTION("COUNTA( IFERROR( FILTER( 'SM Repository'!$AA:$AA , SEARCH( A37 , 'SM Repository'!$AA:$AA ) ) ))"),9.0)</f>
        <v>9</v>
      </c>
      <c r="C37" s="108">
        <f t="shared" si="3"/>
        <v>11.39240506</v>
      </c>
    </row>
    <row r="38">
      <c r="A38" s="182" t="s">
        <v>449</v>
      </c>
      <c r="B38" s="183">
        <f>IFERROR(__xludf.DUMMYFUNCTION("COUNTA( IFERROR( FILTER( 'SM Repository'!$AA:$AA , SEARCH( A38 , 'SM Repository'!$AA:$AA ) ) ))"),4.0)</f>
        <v>4</v>
      </c>
      <c r="C38" s="108">
        <f t="shared" si="3"/>
        <v>5.063291139</v>
      </c>
    </row>
    <row r="39">
      <c r="A39" s="182" t="s">
        <v>766</v>
      </c>
      <c r="B39" s="183">
        <f>IFERROR(__xludf.DUMMYFUNCTION("COUNTA( IFERROR( FILTER( 'SM Repository'!$AA:$AA , SEARCH( A39 , 'SM Repository'!$AA:$AA ) ) ))"),3.0)</f>
        <v>3</v>
      </c>
      <c r="C39" s="108">
        <f t="shared" si="3"/>
        <v>3.797468354</v>
      </c>
    </row>
    <row r="40">
      <c r="A40" s="182" t="s">
        <v>883</v>
      </c>
      <c r="B40" s="183">
        <f>IFERROR(__xludf.DUMMYFUNCTION("COUNTA( IFERROR( FILTER( 'SM Repository'!$AA:$AA , SEARCH( A40 , 'SM Repository'!$AA:$AA ) ) ))"),2.0)</f>
        <v>2</v>
      </c>
      <c r="C40" s="108">
        <f t="shared" si="3"/>
        <v>2.53164557</v>
      </c>
    </row>
    <row r="41">
      <c r="A41" s="182" t="s">
        <v>697</v>
      </c>
      <c r="B41" s="183">
        <f>IFERROR(__xludf.DUMMYFUNCTION("COUNTA( IFERROR( FILTER( 'SM Repository'!$AA:$AA , SEARCH( A41 , 'SM Repository'!$AA:$AA ) ) ))"),1.0)</f>
        <v>1</v>
      </c>
      <c r="C41" s="108">
        <f t="shared" si="3"/>
        <v>1.265822785</v>
      </c>
    </row>
    <row r="42">
      <c r="A42" s="182" t="s">
        <v>1265</v>
      </c>
      <c r="B42" s="183">
        <f>IFERROR(__xludf.DUMMYFUNCTION("COUNTA( IFERROR( FILTER( 'SM Repository'!$AA:$AA , SEARCH( A42 , 'SM Repository'!$AA:$AA ) ) ))"),1.0)</f>
        <v>1</v>
      </c>
      <c r="C42" s="108">
        <f t="shared" si="3"/>
        <v>1.265822785</v>
      </c>
    </row>
    <row r="43">
      <c r="A43" s="182" t="s">
        <v>719</v>
      </c>
      <c r="B43" s="183">
        <f>IFERROR(__xludf.DUMMYFUNCTION("COUNTA( IFERROR( FILTER( 'SM Repository'!$AA:$AA , SEARCH( A43 , 'SM Repository'!$AA:$AA ) ) ))"),1.0)</f>
        <v>1</v>
      </c>
      <c r="C43" s="108">
        <f t="shared" si="3"/>
        <v>1.265822785</v>
      </c>
    </row>
    <row r="44">
      <c r="A44" s="182" t="s">
        <v>1036</v>
      </c>
      <c r="B44" s="183">
        <f>IFERROR(__xludf.DUMMYFUNCTION("COUNTA( IFERROR( FILTER( 'SM Repository'!$AA:$AA , SEARCH( A44 , 'SM Repository'!$AA:$AA ) ) ))"),1.0)</f>
        <v>1</v>
      </c>
      <c r="C44" s="108">
        <f t="shared" si="3"/>
        <v>1.265822785</v>
      </c>
    </row>
    <row r="45">
      <c r="A45" s="174" t="s">
        <v>1093</v>
      </c>
      <c r="B45" s="184">
        <f>IFERROR(__xludf.DUMMYFUNCTION("COUNTA( IFERROR( FILTER( 'SM Repository'!$AA:$AA , SEARCH( A45 , 'SM Repository'!$AA:$AA ) ) ))"),1.0)</f>
        <v>1</v>
      </c>
      <c r="C45" s="108">
        <f t="shared" si="3"/>
        <v>1.265822785</v>
      </c>
    </row>
    <row r="46">
      <c r="A46" s="174" t="s">
        <v>1136</v>
      </c>
      <c r="B46" s="184">
        <f>IFERROR(__xludf.DUMMYFUNCTION("COUNTA( IFERROR( FILTER( 'SM Repository'!$AA:$AA , SEARCH( A46 , 'SM Repository'!$AA:$AA ) ) ))"),1.0)</f>
        <v>1</v>
      </c>
      <c r="C46" s="108">
        <f t="shared" si="3"/>
        <v>1.265822785</v>
      </c>
    </row>
    <row r="47">
      <c r="A47" s="174" t="s">
        <v>1028</v>
      </c>
      <c r="B47" s="184">
        <f>IFERROR(__xludf.DUMMYFUNCTION("COUNTA( IFERROR( FILTER( 'SM Repository'!$AA:$AA , SEARCH( A47 , 'SM Repository'!$AA:$AA ) ) ))"),1.0)</f>
        <v>1</v>
      </c>
      <c r="C47" s="108">
        <f t="shared" si="3"/>
        <v>1.265822785</v>
      </c>
    </row>
    <row r="48">
      <c r="A48" s="174" t="s">
        <v>1266</v>
      </c>
      <c r="B48" s="184">
        <f>IFERROR(__xludf.DUMMYFUNCTION("COUNTA( IFERROR( FILTER( 'SM Repository'!$AA:$AA , SEARCH( A48 , 'SM Repository'!$AA:$AA ) ) ))"),1.0)</f>
        <v>1</v>
      </c>
      <c r="C48" s="108">
        <f t="shared" si="3"/>
        <v>1.265822785</v>
      </c>
    </row>
    <row r="49">
      <c r="A49" s="174" t="s">
        <v>583</v>
      </c>
      <c r="B49" s="184">
        <f>IFERROR(__xludf.DUMMYFUNCTION("COUNTA( IFERROR( FILTER( 'SM Repository'!$AA:$AA , SEARCH( A49 , 'SM Repository'!$AA:$AA ) ) ))"),1.0)</f>
        <v>1</v>
      </c>
      <c r="C49" s="108">
        <f t="shared" si="3"/>
        <v>1.265822785</v>
      </c>
    </row>
    <row r="50">
      <c r="A50" s="174" t="s">
        <v>598</v>
      </c>
      <c r="B50" s="184">
        <f>IFERROR(__xludf.DUMMYFUNCTION("COUNTA( IFERROR( FILTER( 'SM Repository'!$AA:$AA , SEARCH( A50 , 'SM Repository'!$AA:$AA ) ) ))"),1.0)</f>
        <v>1</v>
      </c>
      <c r="C50" s="108">
        <f t="shared" si="3"/>
        <v>1.265822785</v>
      </c>
    </row>
    <row r="51">
      <c r="A51" s="80" t="s">
        <v>1069</v>
      </c>
      <c r="B51" s="184">
        <f>IFERROR(__xludf.DUMMYFUNCTION("COUNTA( IFERROR( FILTER( 'SM Repository'!$AA:$AA , SEARCH( A51 , 'SM Repository'!$AA:$AA ) ) ))"),1.0)</f>
        <v>1</v>
      </c>
      <c r="C51" s="108">
        <f t="shared" si="3"/>
        <v>1.265822785</v>
      </c>
    </row>
    <row r="52">
      <c r="A52" s="175"/>
      <c r="B52" s="175"/>
    </row>
    <row r="53">
      <c r="A53" s="184">
        <f>counta(A35:A51)</f>
        <v>17</v>
      </c>
      <c r="B53" s="178"/>
    </row>
    <row r="54">
      <c r="A54" s="184">
        <f>A53/193</f>
        <v>0.08808290155</v>
      </c>
      <c r="B54" s="178"/>
    </row>
    <row r="55">
      <c r="A55" s="176"/>
      <c r="B55" s="178"/>
    </row>
    <row r="56">
      <c r="A56" s="176"/>
      <c r="B56" s="178"/>
    </row>
    <row r="57">
      <c r="A57" s="176"/>
      <c r="B57" s="178"/>
    </row>
    <row r="58">
      <c r="A58" s="185"/>
      <c r="B58" s="186"/>
    </row>
    <row r="59">
      <c r="A59" s="187"/>
      <c r="B59" s="187"/>
    </row>
    <row r="60">
      <c r="A60" s="188"/>
      <c r="B60" s="188"/>
    </row>
    <row r="61">
      <c r="A61" s="189" t="s">
        <v>1267</v>
      </c>
      <c r="B61" s="190">
        <f>'SM Repository'!AB82</f>
        <v>8</v>
      </c>
    </row>
    <row r="63">
      <c r="A63" s="191" t="s">
        <v>1268</v>
      </c>
    </row>
    <row r="64">
      <c r="A64" s="182" t="s">
        <v>1269</v>
      </c>
      <c r="B64" s="183">
        <f>countif('SM Repository'!AP:AP, "x")</f>
        <v>57</v>
      </c>
    </row>
    <row r="65">
      <c r="A65" s="182" t="s">
        <v>1270</v>
      </c>
      <c r="B65" s="183">
        <f>countif('SM Repository'!AQ:AQ, "x")</f>
        <v>41</v>
      </c>
    </row>
    <row r="66">
      <c r="A66" s="182" t="s">
        <v>1271</v>
      </c>
      <c r="B66" s="183">
        <f>countif('SM Repository'!AR:AR, "x")</f>
        <v>30</v>
      </c>
    </row>
    <row r="67">
      <c r="A67" s="182" t="s">
        <v>90</v>
      </c>
      <c r="B67" s="183">
        <f>countif('SM Repository'!AS:AS, "x")</f>
        <v>9</v>
      </c>
    </row>
    <row r="68">
      <c r="A68" s="182" t="s">
        <v>91</v>
      </c>
      <c r="B68" s="183">
        <f>countif('SM Repository'!AT:AT, "x")</f>
        <v>6</v>
      </c>
    </row>
    <row r="69">
      <c r="A69" s="192" t="s">
        <v>85</v>
      </c>
      <c r="B69" s="183">
        <f>countif('SM Repository'!AU:AU, "x")</f>
        <v>11</v>
      </c>
    </row>
    <row r="70">
      <c r="A70" s="193" t="s">
        <v>1262</v>
      </c>
      <c r="B70" s="194">
        <f>SUM(B64:B69)</f>
        <v>154</v>
      </c>
    </row>
    <row r="89">
      <c r="A89" s="178"/>
      <c r="B89" s="193" t="s">
        <v>1269</v>
      </c>
      <c r="C89" s="193" t="s">
        <v>1270</v>
      </c>
      <c r="D89" s="193" t="s">
        <v>1271</v>
      </c>
      <c r="E89" s="193" t="s">
        <v>90</v>
      </c>
      <c r="F89" s="193" t="s">
        <v>91</v>
      </c>
      <c r="G89" s="195" t="s">
        <v>85</v>
      </c>
      <c r="H89" s="196"/>
    </row>
    <row r="90">
      <c r="A90" s="171">
        <v>2000.0</v>
      </c>
      <c r="B90" s="61">
        <f>IFERROR(__xludf.DUMMYFUNCTION("COUNTIF(FILTER('SM Repository'!AP:AP, 'SM Repository'!AF:AF = $A90, 'SM Repository'!AP:AP &lt;&gt; """"), ""x"")"),0.0)</f>
        <v>0</v>
      </c>
      <c r="C90" s="61">
        <f>IFERROR(__xludf.DUMMYFUNCTION("COUNTIF(FILTER('SM Repository'!AQ:AQ, 'SM Repository'!AF:AF = $A90, 'SM Repository'!AQ:AQ &lt;&gt; """"), ""x"")"),0.0)</f>
        <v>0</v>
      </c>
      <c r="D90" s="61">
        <f>IFERROR(__xludf.DUMMYFUNCTION("COUNTIF(FILTER('SM Repository'!AR:AR, 'SM Repository'!AF:AF = $A90, 'SM Repository'!AR:AR &lt;&gt; """"), ""x"")"),0.0)</f>
        <v>0</v>
      </c>
      <c r="E90" s="61">
        <f>IFERROR(__xludf.DUMMYFUNCTION("COUNTIF(FILTER('SM Repository'!AS:AS, 'SM Repository'!AF:AF = $A90, 'SM Repository'!AS:AS &lt;&gt; """"), ""x"")"),0.0)</f>
        <v>0</v>
      </c>
      <c r="F90" s="61">
        <f>IFERROR(__xludf.DUMMYFUNCTION("COUNTIF(FILTER('SM Repository'!AT:AT, 'SM Repository'!AF:AF = $A90, 'SM Repository'!AT:AT &lt;&gt; """"), ""x"")"),0.0)</f>
        <v>0</v>
      </c>
      <c r="G90" s="61">
        <f>IFERROR(__xludf.DUMMYFUNCTION("COUNTIF(FILTER('SM Repository'!AU:AU, 'SM Repository'!AF:AF = $A90, 'SM Repository'!AU:AU &lt;&gt; """"), ""x"")"),0.0)</f>
        <v>0</v>
      </c>
    </row>
    <row r="91">
      <c r="A91" s="172">
        <f t="shared" ref="A91:A101" si="4">A90+1</f>
        <v>2001</v>
      </c>
      <c r="B91" s="61">
        <f>IFERROR(__xludf.DUMMYFUNCTION("COUNTIF(FILTER('SM Repository'!AP:AP, 'SM Repository'!AF:AF = $A91, 'SM Repository'!AP:AP &lt;&gt; """"), ""x"")"),1.0)</f>
        <v>1</v>
      </c>
      <c r="C91" s="61">
        <f>IFERROR(__xludf.DUMMYFUNCTION("COUNTIF(FILTER('SM Repository'!AQ:AQ, 'SM Repository'!AF:AF = $A91, 'SM Repository'!AQ:AQ &lt;&gt; """"), ""x"")"),1.0)</f>
        <v>1</v>
      </c>
      <c r="D91" s="61">
        <f>IFERROR(__xludf.DUMMYFUNCTION("COUNTIF(FILTER('SM Repository'!AR:AR, 'SM Repository'!AF:AF = $A91, 'SM Repository'!AR:AR &lt;&gt; """"), ""x"")"),2.0)</f>
        <v>2</v>
      </c>
      <c r="E91" s="61">
        <f>IFERROR(__xludf.DUMMYFUNCTION("COUNTIF(FILTER('SM Repository'!AS:AS, 'SM Repository'!AF:AF = $A91, 'SM Repository'!AS:AS &lt;&gt; """"), ""x"")"),0.0)</f>
        <v>0</v>
      </c>
      <c r="F91" s="61">
        <f>IFERROR(__xludf.DUMMYFUNCTION("COUNTIF(FILTER('SM Repository'!AT:AT, 'SM Repository'!AF:AF = $A91, 'SM Repository'!AT:AT &lt;&gt; """"), ""x"")"),0.0)</f>
        <v>0</v>
      </c>
      <c r="G91" s="61">
        <f>IFERROR(__xludf.DUMMYFUNCTION("COUNTIF(FILTER('SM Repository'!AU:AU, 'SM Repository'!AF:AF = $A91, 'SM Repository'!AU:AU &lt;&gt; """"), ""x"")"),0.0)</f>
        <v>0</v>
      </c>
    </row>
    <row r="92">
      <c r="A92" s="172">
        <f t="shared" si="4"/>
        <v>2002</v>
      </c>
      <c r="B92" s="61">
        <f>IFERROR(__xludf.DUMMYFUNCTION("COUNTIF(FILTER('SM Repository'!AP:AP, 'SM Repository'!AF:AF = $A92, 'SM Repository'!AP:AP &lt;&gt; """"), ""x"")"),4.0)</f>
        <v>4</v>
      </c>
      <c r="C92" s="61">
        <f>IFERROR(__xludf.DUMMYFUNCTION("COUNTIF(FILTER('SM Repository'!AQ:AQ, 'SM Repository'!AF:AF = $A92, 'SM Repository'!AQ:AQ &lt;&gt; """"), ""x"")"),4.0)</f>
        <v>4</v>
      </c>
      <c r="D92" s="61">
        <f>IFERROR(__xludf.DUMMYFUNCTION("COUNTIF(FILTER('SM Repository'!AR:AR, 'SM Repository'!AF:AF = $A92, 'SM Repository'!AR:AR &lt;&gt; """"), ""x"")"),2.0)</f>
        <v>2</v>
      </c>
      <c r="E92" s="61">
        <f>IFERROR(__xludf.DUMMYFUNCTION("COUNTIF(FILTER('SM Repository'!AS:AS, 'SM Repository'!AF:AF = $A92, 'SM Repository'!AS:AS &lt;&gt; """"), ""x"")"),0.0)</f>
        <v>0</v>
      </c>
      <c r="F92" s="61">
        <f>IFERROR(__xludf.DUMMYFUNCTION("COUNTIF(FILTER('SM Repository'!AT:AT, 'SM Repository'!AF:AF = $A92, 'SM Repository'!AT:AT &lt;&gt; """"), ""x"")"),1.0)</f>
        <v>1</v>
      </c>
      <c r="G92" s="61">
        <f>IFERROR(__xludf.DUMMYFUNCTION("COUNTIF(FILTER('SM Repository'!AU:AU, 'SM Repository'!AF:AF = $A92, 'SM Repository'!AU:AU &lt;&gt; """"), ""x"")"),0.0)</f>
        <v>0</v>
      </c>
    </row>
    <row r="93">
      <c r="A93" s="172">
        <f t="shared" si="4"/>
        <v>2003</v>
      </c>
      <c r="B93" s="61">
        <f>IFERROR(__xludf.DUMMYFUNCTION("COUNTIF(FILTER('SM Repository'!AP:AP, 'SM Repository'!AF:AF = $A93, 'SM Repository'!AP:AP &lt;&gt; """"), ""x"")"),0.0)</f>
        <v>0</v>
      </c>
      <c r="C93" s="61">
        <f>IFERROR(__xludf.DUMMYFUNCTION("COUNTIF(FILTER('SM Repository'!AQ:AQ, 'SM Repository'!AF:AF = $A93, 'SM Repository'!AQ:AQ &lt;&gt; """"), ""x"")"),0.0)</f>
        <v>0</v>
      </c>
      <c r="D93" s="61">
        <f>IFERROR(__xludf.DUMMYFUNCTION("COUNTIF(FILTER('SM Repository'!AR:AR, 'SM Repository'!AF:AF = $A93, 'SM Repository'!AR:AR &lt;&gt; """"), ""x"")"),0.0)</f>
        <v>0</v>
      </c>
      <c r="E93" s="61">
        <f>IFERROR(__xludf.DUMMYFUNCTION("COUNTIF(FILTER('SM Repository'!AS:AS, 'SM Repository'!AF:AF = $A93, 'SM Repository'!AS:AS &lt;&gt; """"), ""x"")"),0.0)</f>
        <v>0</v>
      </c>
      <c r="F93" s="61">
        <f>IFERROR(__xludf.DUMMYFUNCTION("COUNTIF(FILTER('SM Repository'!AT:AT, 'SM Repository'!AF:AF = $A93, 'SM Repository'!AT:AT &lt;&gt; """"), ""x"")"),0.0)</f>
        <v>0</v>
      </c>
      <c r="G93" s="61">
        <f>IFERROR(__xludf.DUMMYFUNCTION("COUNTIF(FILTER('SM Repository'!AU:AU, 'SM Repository'!AF:AF = $A93, 'SM Repository'!AU:AU &lt;&gt; """"), ""x"")"),0.0)</f>
        <v>0</v>
      </c>
    </row>
    <row r="94">
      <c r="A94" s="172">
        <f t="shared" si="4"/>
        <v>2004</v>
      </c>
      <c r="B94" s="61">
        <f>IFERROR(__xludf.DUMMYFUNCTION("COUNTIF(FILTER('SM Repository'!AP:AP, 'SM Repository'!AF:AF = $A94, 'SM Repository'!AP:AP &lt;&gt; """"), ""x"")"),5.0)</f>
        <v>5</v>
      </c>
      <c r="C94" s="61">
        <f>IFERROR(__xludf.DUMMYFUNCTION("COUNTIF(FILTER('SM Repository'!AQ:AQ, 'SM Repository'!AF:AF = $A94, 'SM Repository'!AQ:AQ &lt;&gt; """"), ""x"")"),3.0)</f>
        <v>3</v>
      </c>
      <c r="D94" s="61">
        <f>IFERROR(__xludf.DUMMYFUNCTION("COUNTIF(FILTER('SM Repository'!AR:AR, 'SM Repository'!AF:AF = $A94, 'SM Repository'!AR:AR &lt;&gt; """"), ""x"")"),3.0)</f>
        <v>3</v>
      </c>
      <c r="E94" s="61">
        <f>IFERROR(__xludf.DUMMYFUNCTION("COUNTIF(FILTER('SM Repository'!AS:AS, 'SM Repository'!AF:AF = $A94, 'SM Repository'!AS:AS &lt;&gt; """"), ""x"")"),1.0)</f>
        <v>1</v>
      </c>
      <c r="F94" s="61">
        <f>IFERROR(__xludf.DUMMYFUNCTION("COUNTIF(FILTER('SM Repository'!AT:AT, 'SM Repository'!AF:AF = $A94, 'SM Repository'!AT:AT &lt;&gt; """"), ""x"")"),1.0)</f>
        <v>1</v>
      </c>
      <c r="G94" s="61">
        <f>IFERROR(__xludf.DUMMYFUNCTION("COUNTIF(FILTER('SM Repository'!AU:AU, 'SM Repository'!AF:AF = $A94, 'SM Repository'!AU:AU &lt;&gt; """"), ""x"")"),0.0)</f>
        <v>0</v>
      </c>
    </row>
    <row r="95">
      <c r="A95" s="172">
        <f t="shared" si="4"/>
        <v>2005</v>
      </c>
      <c r="B95" s="61">
        <f>IFERROR(__xludf.DUMMYFUNCTION("COUNTIF(FILTER('SM Repository'!AP:AP, 'SM Repository'!AF:AF = $A95, 'SM Repository'!AP:AP &lt;&gt; """"), ""x"")"),8.0)</f>
        <v>8</v>
      </c>
      <c r="C95" s="61">
        <f>IFERROR(__xludf.DUMMYFUNCTION("COUNTIF(FILTER('SM Repository'!AQ:AQ, 'SM Repository'!AF:AF = $A95, 'SM Repository'!AQ:AQ &lt;&gt; """"), ""x"")"),4.0)</f>
        <v>4</v>
      </c>
      <c r="D95" s="61">
        <f>IFERROR(__xludf.DUMMYFUNCTION("COUNTIF(FILTER('SM Repository'!AR:AR, 'SM Repository'!AF:AF = $A95, 'SM Repository'!AR:AR &lt;&gt; """"), ""x"")"),3.0)</f>
        <v>3</v>
      </c>
      <c r="E95" s="61">
        <f>IFERROR(__xludf.DUMMYFUNCTION("COUNTIF(FILTER('SM Repository'!AS:AS, 'SM Repository'!AF:AF = $A95, 'SM Repository'!AS:AS &lt;&gt; """"), ""x"")"),0.0)</f>
        <v>0</v>
      </c>
      <c r="F95" s="61">
        <f>IFERROR(__xludf.DUMMYFUNCTION("COUNTIF(FILTER('SM Repository'!AT:AT, 'SM Repository'!AF:AF = $A95, 'SM Repository'!AT:AT &lt;&gt; """"), ""x"")"),1.0)</f>
        <v>1</v>
      </c>
      <c r="G95" s="61">
        <f>IFERROR(__xludf.DUMMYFUNCTION("COUNTIF(FILTER('SM Repository'!AU:AU, 'SM Repository'!AF:AF = $A95, 'SM Repository'!AU:AU &lt;&gt; """"), ""x"")"),1.0)</f>
        <v>1</v>
      </c>
    </row>
    <row r="96">
      <c r="A96" s="172">
        <f t="shared" si="4"/>
        <v>2006</v>
      </c>
      <c r="B96" s="61">
        <f>IFERROR(__xludf.DUMMYFUNCTION("COUNTIF(FILTER('SM Repository'!AP:AP, 'SM Repository'!AF:AF = $A96, 'SM Repository'!AP:AP &lt;&gt; """"), ""x"")"),6.0)</f>
        <v>6</v>
      </c>
      <c r="C96" s="61">
        <f>IFERROR(__xludf.DUMMYFUNCTION("COUNTIF(FILTER('SM Repository'!AQ:AQ, 'SM Repository'!AF:AF = $A96, 'SM Repository'!AQ:AQ &lt;&gt; """"), ""x"")"),1.0)</f>
        <v>1</v>
      </c>
      <c r="D96" s="61">
        <f>IFERROR(__xludf.DUMMYFUNCTION("COUNTIF(FILTER('SM Repository'!AR:AR, 'SM Repository'!AF:AF = $A96, 'SM Repository'!AR:AR &lt;&gt; """"), ""x"")"),5.0)</f>
        <v>5</v>
      </c>
      <c r="E96" s="61">
        <f>IFERROR(__xludf.DUMMYFUNCTION("COUNTIF(FILTER('SM Repository'!AS:AS, 'SM Repository'!AF:AF = $A96, 'SM Repository'!AS:AS &lt;&gt; """"), ""x"")"),1.0)</f>
        <v>1</v>
      </c>
      <c r="F96" s="61">
        <f>IFERROR(__xludf.DUMMYFUNCTION("COUNTIF(FILTER('SM Repository'!AT:AT, 'SM Repository'!AF:AF = $A96, 'SM Repository'!AT:AT &lt;&gt; """"), ""x"")"),0.0)</f>
        <v>0</v>
      </c>
      <c r="G96" s="61">
        <f>IFERROR(__xludf.DUMMYFUNCTION("COUNTIF(FILTER('SM Repository'!AU:AU, 'SM Repository'!AF:AF = $A96, 'SM Repository'!AU:AU &lt;&gt; """"), ""x"")"),3.0)</f>
        <v>3</v>
      </c>
    </row>
    <row r="97">
      <c r="A97" s="172">
        <f t="shared" si="4"/>
        <v>2007</v>
      </c>
      <c r="B97" s="61">
        <f>IFERROR(__xludf.DUMMYFUNCTION("COUNTIF(FILTER('SM Repository'!AP:AP, 'SM Repository'!AF:AF = $A97, 'SM Repository'!AP:AP &lt;&gt; """"), ""x"")"),1.0)</f>
        <v>1</v>
      </c>
      <c r="C97" s="61">
        <f>IFERROR(__xludf.DUMMYFUNCTION("COUNTIF(FILTER('SM Repository'!AQ:AQ, 'SM Repository'!AF:AF = $A97, 'SM Repository'!AQ:AQ &lt;&gt; """"), ""x"")"),2.0)</f>
        <v>2</v>
      </c>
      <c r="D97" s="61">
        <f>IFERROR(__xludf.DUMMYFUNCTION("COUNTIF(FILTER('SM Repository'!AR:AR, 'SM Repository'!AF:AF = $A97, 'SM Repository'!AR:AR &lt;&gt; """"), ""x"")"),0.0)</f>
        <v>0</v>
      </c>
      <c r="E97" s="61">
        <f>IFERROR(__xludf.DUMMYFUNCTION("COUNTIF(FILTER('SM Repository'!AS:AS, 'SM Repository'!AF:AF = $A97, 'SM Repository'!AS:AS &lt;&gt; """"), ""x"")"),1.0)</f>
        <v>1</v>
      </c>
      <c r="F97" s="61">
        <f>IFERROR(__xludf.DUMMYFUNCTION("COUNTIF(FILTER('SM Repository'!AT:AT, 'SM Repository'!AF:AF = $A97, 'SM Repository'!AT:AT &lt;&gt; """"), ""x"")"),0.0)</f>
        <v>0</v>
      </c>
      <c r="G97" s="61">
        <f>IFERROR(__xludf.DUMMYFUNCTION("COUNTIF(FILTER('SM Repository'!AU:AU, 'SM Repository'!AF:AF = $A97, 'SM Repository'!AU:AU &lt;&gt; """"), ""x"")"),2.0)</f>
        <v>2</v>
      </c>
    </row>
    <row r="98">
      <c r="A98" s="172">
        <f t="shared" si="4"/>
        <v>2008</v>
      </c>
      <c r="B98" s="61">
        <f>IFERROR(__xludf.DUMMYFUNCTION("COUNTIF(FILTER('SM Repository'!AP:AP, 'SM Repository'!AF:AF = $A98, 'SM Repository'!AP:AP &lt;&gt; """"), ""x"")"),11.0)</f>
        <v>11</v>
      </c>
      <c r="C98" s="61">
        <f>IFERROR(__xludf.DUMMYFUNCTION("COUNTIF(FILTER('SM Repository'!AQ:AQ, 'SM Repository'!AF:AF = $A98, 'SM Repository'!AQ:AQ &lt;&gt; """"), ""x"")"),7.0)</f>
        <v>7</v>
      </c>
      <c r="D98" s="61">
        <f>IFERROR(__xludf.DUMMYFUNCTION("COUNTIF(FILTER('SM Repository'!AR:AR, 'SM Repository'!AF:AF = $A98, 'SM Repository'!AR:AR &lt;&gt; """"), ""x"")"),4.0)</f>
        <v>4</v>
      </c>
      <c r="E98" s="61">
        <f>IFERROR(__xludf.DUMMYFUNCTION("COUNTIF(FILTER('SM Repository'!AS:AS, 'SM Repository'!AF:AF = $A98, 'SM Repository'!AS:AS &lt;&gt; """"), ""x"")"),1.0)</f>
        <v>1</v>
      </c>
      <c r="F98" s="61">
        <f>IFERROR(__xludf.DUMMYFUNCTION("COUNTIF(FILTER('SM Repository'!AT:AT, 'SM Repository'!AF:AF = $A98, 'SM Repository'!AT:AT &lt;&gt; """"), ""x"")"),0.0)</f>
        <v>0</v>
      </c>
      <c r="G98" s="61">
        <f>IFERROR(__xludf.DUMMYFUNCTION("COUNTIF(FILTER('SM Repository'!AU:AU, 'SM Repository'!AF:AF = $A98, 'SM Repository'!AU:AU &lt;&gt; """"), ""x"")"),1.0)</f>
        <v>1</v>
      </c>
    </row>
    <row r="99">
      <c r="A99" s="172">
        <f t="shared" si="4"/>
        <v>2009</v>
      </c>
      <c r="B99" s="61">
        <f>IFERROR(__xludf.DUMMYFUNCTION("COUNTIF(FILTER('SM Repository'!AP:AP, 'SM Repository'!AF:AF = $A99, 'SM Repository'!AP:AP &lt;&gt; """"), ""x"")"),4.0)</f>
        <v>4</v>
      </c>
      <c r="C99" s="61">
        <f>IFERROR(__xludf.DUMMYFUNCTION("COUNTIF(FILTER('SM Repository'!AQ:AQ, 'SM Repository'!AF:AF = $A99, 'SM Repository'!AQ:AQ &lt;&gt; """"), ""x"")"),3.0)</f>
        <v>3</v>
      </c>
      <c r="D99" s="61">
        <f>IFERROR(__xludf.DUMMYFUNCTION("COUNTIF(FILTER('SM Repository'!AR:AR, 'SM Repository'!AF:AF = $A99, 'SM Repository'!AR:AR &lt;&gt; """"), ""x"")"),4.0)</f>
        <v>4</v>
      </c>
      <c r="E99" s="61">
        <f>IFERROR(__xludf.DUMMYFUNCTION("COUNTIF(FILTER('SM Repository'!AS:AS, 'SM Repository'!AF:AF = $A99, 'SM Repository'!AS:AS &lt;&gt; """"), ""x"")"),1.0)</f>
        <v>1</v>
      </c>
      <c r="F99" s="61">
        <f>IFERROR(__xludf.DUMMYFUNCTION("COUNTIF(FILTER('SM Repository'!AT:AT, 'SM Repository'!AF:AF = $A99, 'SM Repository'!AT:AT &lt;&gt; """"), ""x"")"),0.0)</f>
        <v>0</v>
      </c>
      <c r="G99" s="61">
        <f>IFERROR(__xludf.DUMMYFUNCTION("COUNTIF(FILTER('SM Repository'!AU:AU, 'SM Repository'!AF:AF = $A99, 'SM Repository'!AU:AU &lt;&gt; """"), ""x"")"),1.0)</f>
        <v>1</v>
      </c>
    </row>
    <row r="100">
      <c r="A100" s="172">
        <f t="shared" si="4"/>
        <v>2010</v>
      </c>
      <c r="B100" s="61">
        <f>IFERROR(__xludf.DUMMYFUNCTION("COUNTIF(FILTER('SM Repository'!AP:AP, 'SM Repository'!AF:AF = $A100, 'SM Repository'!AP:AP &lt;&gt; """"), ""x"")"),11.0)</f>
        <v>11</v>
      </c>
      <c r="C100" s="61">
        <f>IFERROR(__xludf.DUMMYFUNCTION("COUNTIF(FILTER('SM Repository'!AQ:AQ, 'SM Repository'!AF:AF = $A100, 'SM Repository'!AQ:AQ &lt;&gt; """"), ""x"")"),10.0)</f>
        <v>10</v>
      </c>
      <c r="D100" s="61">
        <f>IFERROR(__xludf.DUMMYFUNCTION("COUNTIF(FILTER('SM Repository'!AR:AR, 'SM Repository'!AF:AF = $A100, 'SM Repository'!AR:AR &lt;&gt; """"), ""x"")"),3.0)</f>
        <v>3</v>
      </c>
      <c r="E100" s="61">
        <f>IFERROR(__xludf.DUMMYFUNCTION("COUNTIF(FILTER('SM Repository'!AS:AS, 'SM Repository'!AF:AF = $A100, 'SM Repository'!AS:AS &lt;&gt; """"), ""x"")"),2.0)</f>
        <v>2</v>
      </c>
      <c r="F100" s="61">
        <f>IFERROR(__xludf.DUMMYFUNCTION("COUNTIF(FILTER('SM Repository'!AT:AT, 'SM Repository'!AF:AF = $A100, 'SM Repository'!AT:AT &lt;&gt; """"), ""x"")"),1.0)</f>
        <v>1</v>
      </c>
      <c r="G100" s="61">
        <f>IFERROR(__xludf.DUMMYFUNCTION("COUNTIF(FILTER('SM Repository'!AU:AU, 'SM Repository'!AF:AF = $A100, 'SM Repository'!AU:AU &lt;&gt; """"), ""x"")"),2.0)</f>
        <v>2</v>
      </c>
    </row>
    <row r="101">
      <c r="A101" s="172">
        <f t="shared" si="4"/>
        <v>2011</v>
      </c>
      <c r="B101" s="61">
        <f>IFERROR(__xludf.DUMMYFUNCTION("COUNTIF(FILTER('SM Repository'!AP:AP, 'SM Repository'!AF:AF = $A101, 'SM Repository'!AP:AP &lt;&gt; """"), ""x"")"),6.0)</f>
        <v>6</v>
      </c>
      <c r="C101" s="61">
        <f>IFERROR(__xludf.DUMMYFUNCTION("COUNTIF(FILTER('SM Repository'!AQ:AQ, 'SM Repository'!AF:AF = $A101, 'SM Repository'!AQ:AQ &lt;&gt; """"), ""x"")"),6.0)</f>
        <v>6</v>
      </c>
      <c r="D101" s="61">
        <f>IFERROR(__xludf.DUMMYFUNCTION("COUNTIF(FILTER('SM Repository'!AR:AR, 'SM Repository'!AF:AF = $A101, 'SM Repository'!AR:AR &lt;&gt; """"), ""x"")"),4.0)</f>
        <v>4</v>
      </c>
      <c r="E101" s="61">
        <f>IFERROR(__xludf.DUMMYFUNCTION("COUNTIF(FILTER('SM Repository'!AS:AS, 'SM Repository'!AF:AF = $A101, 'SM Repository'!AS:AS &lt;&gt; """"), ""x"")"),2.0)</f>
        <v>2</v>
      </c>
      <c r="F101" s="61">
        <f>IFERROR(__xludf.DUMMYFUNCTION("COUNTIF(FILTER('SM Repository'!AT:AT, 'SM Repository'!AF:AF = $A101, 'SM Repository'!AT:AT &lt;&gt; """"), ""x"")"),2.0)</f>
        <v>2</v>
      </c>
      <c r="G101" s="61">
        <f>IFERROR(__xludf.DUMMYFUNCTION("COUNTIF(FILTER('SM Repository'!AU:AU, 'SM Repository'!AF:AF = $A101, 'SM Repository'!AU:AU &lt;&gt; """"), ""x"")"),1.0)</f>
        <v>1</v>
      </c>
    </row>
    <row r="102">
      <c r="A102" s="193" t="s">
        <v>1262</v>
      </c>
      <c r="B102" s="194">
        <f>SUM(B90:G101)</f>
        <v>154</v>
      </c>
    </row>
    <row r="105">
      <c r="A105" s="178"/>
      <c r="B105" s="64" t="s">
        <v>76</v>
      </c>
      <c r="C105" s="64" t="s">
        <v>77</v>
      </c>
      <c r="D105" s="64" t="s">
        <v>78</v>
      </c>
      <c r="E105" s="64" t="s">
        <v>79</v>
      </c>
      <c r="F105" s="64" t="s">
        <v>80</v>
      </c>
      <c r="G105" s="64" t="s">
        <v>81</v>
      </c>
      <c r="H105" s="64" t="s">
        <v>82</v>
      </c>
      <c r="I105" s="64" t="s">
        <v>83</v>
      </c>
      <c r="J105" s="64" t="s">
        <v>84</v>
      </c>
      <c r="K105" s="64" t="s">
        <v>85</v>
      </c>
    </row>
    <row r="106">
      <c r="A106" s="171">
        <v>2000.0</v>
      </c>
      <c r="B106" s="61">
        <f>IFERROR(__xludf.DUMMYFUNCTION("COUNTIF(FILTER('SLR Repository'!AR:AR, 'SLR Repository'!H:H = $A106, 'SLR Repository'!AR:AR &lt;&gt; """"), ""x"")"),0.0)</f>
        <v>0</v>
      </c>
      <c r="C106" s="61">
        <f>IFERROR(__xludf.DUMMYFUNCTION("COUNTIF(FILTER('SLR Repository'!AS:AS, 'SLR Repository'!H:H = $A106, 'SLR Repository'!AS:AS &lt;&gt; """"), ""x"")"),0.0)</f>
        <v>0</v>
      </c>
      <c r="D106" s="61">
        <f>IFERROR(__xludf.DUMMYFUNCTION("COUNTIF(FILTER('SLR Repository'!AT:AT, 'SLR Repository'!H:H = $A106, 'SLR Repository'!AT:AT &lt;&gt; """"), ""x"")"),0.0)</f>
        <v>0</v>
      </c>
      <c r="E106" s="61">
        <f>IFERROR(__xludf.DUMMYFUNCTION("COUNTIF(FILTER('SLR Repository'!AU:AU, 'SLR Repository'!H:H = $A106, 'SLR Repository'!AU:AU &lt;&gt; """"), ""x"")"),0.0)</f>
        <v>0</v>
      </c>
      <c r="F106" s="61">
        <f>IFERROR(__xludf.DUMMYFUNCTION("COUNTIF(FILTER('SLR Repository'!AV:AV, 'SLR Repository'!H:H = $A106, 'SLR Repository'!AV:AV &lt;&gt; """"), ""x"")"),0.0)</f>
        <v>0</v>
      </c>
      <c r="G106" s="61">
        <f>IFERROR(__xludf.DUMMYFUNCTION("COUNTIF(FILTER('SLR Repository'!AW:AW, 'SLR Repository'!H:H = $A106, 'SLR Repository'!AW:AW &lt;&gt; """"), ""x"")"),0.0)</f>
        <v>0</v>
      </c>
      <c r="H106" s="61">
        <f>IFERROR(__xludf.DUMMYFUNCTION("COUNTIF(FILTER('SLR Repository'!AX:AX, 'SLR Repository'!H:H = $A106, 'SLR Repository'!AX:AX &lt;&gt; """"), ""x"")"),0.0)</f>
        <v>0</v>
      </c>
      <c r="I106" s="61">
        <f>IFERROR(__xludf.DUMMYFUNCTION("COUNTIF(FILTER('SLR Repository'!AY:AY, 'SLR Repository'!H:H = $A106, 'SLR Repository'!AY:AY &lt;&gt; """"), ""x"")"),0.0)</f>
        <v>0</v>
      </c>
      <c r="J106" s="61">
        <f>IFERROR(__xludf.DUMMYFUNCTION("COUNTIF(FILTER('SLR Repository'!AZ:AZ, 'SLR Repository'!H:H = $A106, 'SLR Repository'!AZ:AZ &lt;&gt; """"), ""x"")"),0.0)</f>
        <v>0</v>
      </c>
      <c r="K106" s="61">
        <f>IFERROR(__xludf.DUMMYFUNCTION("COUNTIF(FILTER('SLR Repository'!BA:BA, 'SLR Repository'!H:H = $A106, 'SLR Repository'!BA:BA &lt;&gt; """"), ""x"")"),0.0)</f>
        <v>0</v>
      </c>
    </row>
    <row r="107">
      <c r="A107" s="172">
        <f t="shared" ref="A107:A119" si="5">A106+1</f>
        <v>2001</v>
      </c>
      <c r="B107" s="61">
        <f>IFERROR(__xludf.DUMMYFUNCTION("COUNTIF(FILTER('SLR Repository'!AR:AR, 'SLR Repository'!H:H = $A107, 'SLR Repository'!AR:AR &lt;&gt; """"), ""x"")"),0.0)</f>
        <v>0</v>
      </c>
      <c r="C107" s="61">
        <f>IFERROR(__xludf.DUMMYFUNCTION("COUNTIF(FILTER('SLR Repository'!AS:AS, 'SLR Repository'!H:H = $A107, 'SLR Repository'!AS:AS &lt;&gt; """"), ""x"")"),0.0)</f>
        <v>0</v>
      </c>
      <c r="D107" s="61">
        <f>IFERROR(__xludf.DUMMYFUNCTION("COUNTIF(FILTER('SLR Repository'!AT:AT, 'SLR Repository'!H:H = $A107, 'SLR Repository'!AT:AT &lt;&gt; """"), ""x"")"),0.0)</f>
        <v>0</v>
      </c>
      <c r="E107" s="61">
        <f>IFERROR(__xludf.DUMMYFUNCTION("COUNTIF(FILTER('SLR Repository'!AU:AU, 'SLR Repository'!H:H = $A107, 'SLR Repository'!AU:AU &lt;&gt; """"), ""x"")"),0.0)</f>
        <v>0</v>
      </c>
      <c r="F107" s="61">
        <f>IFERROR(__xludf.DUMMYFUNCTION("COUNTIF(FILTER('SLR Repository'!AV:AV, 'SLR Repository'!H:H = $A107, 'SLR Repository'!AV:AV &lt;&gt; """"), ""x"")"),1.0)</f>
        <v>1</v>
      </c>
      <c r="G107" s="61">
        <f>IFERROR(__xludf.DUMMYFUNCTION("COUNTIF(FILTER('SLR Repository'!AW:AW, 'SLR Repository'!H:H = $A107, 'SLR Repository'!AW:AW &lt;&gt; """"), ""x"")"),0.0)</f>
        <v>0</v>
      </c>
      <c r="H107" s="61">
        <f>IFERROR(__xludf.DUMMYFUNCTION("COUNTIF(FILTER('SLR Repository'!AX:AX, 'SLR Repository'!H:H = $A107, 'SLR Repository'!AX:AX &lt;&gt; """"), ""x"")"),0.0)</f>
        <v>0</v>
      </c>
      <c r="I107" s="61">
        <f>IFERROR(__xludf.DUMMYFUNCTION("COUNTIF(FILTER('SLR Repository'!AY:AY, 'SLR Repository'!H:H = $A107, 'SLR Repository'!AY:AY &lt;&gt; """"), ""x"")"),0.0)</f>
        <v>0</v>
      </c>
      <c r="J107" s="61">
        <f>IFERROR(__xludf.DUMMYFUNCTION("COUNTIF(FILTER('SLR Repository'!AZ:AZ, 'SLR Repository'!H:H = $A107, 'SLR Repository'!AZ:AZ &lt;&gt; """"), ""x"")"),0.0)</f>
        <v>0</v>
      </c>
      <c r="K107" s="61">
        <f>IFERROR(__xludf.DUMMYFUNCTION("COUNTIF(FILTER('SLR Repository'!BA:BA, 'SLR Repository'!H:H = $A107, 'SLR Repository'!BA:BA &lt;&gt; """"), ""x"")"),0.0)</f>
        <v>0</v>
      </c>
    </row>
    <row r="108">
      <c r="A108" s="172">
        <f t="shared" si="5"/>
        <v>2002</v>
      </c>
      <c r="B108" s="61">
        <f>IFERROR(__xludf.DUMMYFUNCTION("COUNTIF(FILTER('SLR Repository'!AR:AR, 'SLR Repository'!H:H = $A108, 'SLR Repository'!AR:AR &lt;&gt; """"), ""x"")"),0.0)</f>
        <v>0</v>
      </c>
      <c r="C108" s="61">
        <f>IFERROR(__xludf.DUMMYFUNCTION("COUNTIF(FILTER('SLR Repository'!AS:AS, 'SLR Repository'!H:H = $A108, 'SLR Repository'!AS:AS &lt;&gt; """"), ""x"")"),1.0)</f>
        <v>1</v>
      </c>
      <c r="D108" s="61">
        <f>IFERROR(__xludf.DUMMYFUNCTION("COUNTIF(FILTER('SLR Repository'!AT:AT, 'SLR Repository'!H:H = $A108, 'SLR Repository'!AT:AT &lt;&gt; """"), ""x"")"),0.0)</f>
        <v>0</v>
      </c>
      <c r="E108" s="61">
        <f>IFERROR(__xludf.DUMMYFUNCTION("COUNTIF(FILTER('SLR Repository'!AU:AU, 'SLR Repository'!H:H = $A108, 'SLR Repository'!AU:AU &lt;&gt; """"), ""x"")"),0.0)</f>
        <v>0</v>
      </c>
      <c r="F108" s="61">
        <f>IFERROR(__xludf.DUMMYFUNCTION("COUNTIF(FILTER('SLR Repository'!AV:AV, 'SLR Repository'!H:H = $A108, 'SLR Repository'!AV:AV &lt;&gt; """"), ""x"")"),0.0)</f>
        <v>0</v>
      </c>
      <c r="G108" s="61">
        <f>IFERROR(__xludf.DUMMYFUNCTION("COUNTIF(FILTER('SLR Repository'!AW:AW, 'SLR Repository'!H:H = $A108, 'SLR Repository'!AW:AW &lt;&gt; """"), ""x"")"),0.0)</f>
        <v>0</v>
      </c>
      <c r="H108" s="61">
        <f>IFERROR(__xludf.DUMMYFUNCTION("COUNTIF(FILTER('SLR Repository'!AX:AX, 'SLR Repository'!H:H = $A108, 'SLR Repository'!AX:AX &lt;&gt; """"), ""x"")"),0.0)</f>
        <v>0</v>
      </c>
      <c r="I108" s="61">
        <f>IFERROR(__xludf.DUMMYFUNCTION("COUNTIF(FILTER('SLR Repository'!AY:AY, 'SLR Repository'!H:H = $A108, 'SLR Repository'!AY:AY &lt;&gt; """"), ""x"")"),0.0)</f>
        <v>0</v>
      </c>
      <c r="J108" s="61">
        <f>IFERROR(__xludf.DUMMYFUNCTION("COUNTIF(FILTER('SLR Repository'!AZ:AZ, 'SLR Repository'!H:H = $A108, 'SLR Repository'!AZ:AZ &lt;&gt; """"), ""x"")"),0.0)</f>
        <v>0</v>
      </c>
      <c r="K108" s="61">
        <f>IFERROR(__xludf.DUMMYFUNCTION("COUNTIF(FILTER('SLR Repository'!BA:BA, 'SLR Repository'!H:H = $A108, 'SLR Repository'!BA:BA &lt;&gt; """"), ""x"")"),0.0)</f>
        <v>0</v>
      </c>
    </row>
    <row r="109">
      <c r="A109" s="172">
        <f t="shared" si="5"/>
        <v>2003</v>
      </c>
      <c r="B109" s="61">
        <f>IFERROR(__xludf.DUMMYFUNCTION("COUNTIF(FILTER('SLR Repository'!AR:AR, 'SLR Repository'!H:H = $A109, 'SLR Repository'!AR:AR &lt;&gt; """"), ""x"")"),0.0)</f>
        <v>0</v>
      </c>
      <c r="C109" s="61">
        <f>IFERROR(__xludf.DUMMYFUNCTION("COUNTIF(FILTER('SLR Repository'!AS:AS, 'SLR Repository'!H:H = $A109, 'SLR Repository'!AS:AS &lt;&gt; """"), ""x"")"),0.0)</f>
        <v>0</v>
      </c>
      <c r="D109" s="61">
        <f>IFERROR(__xludf.DUMMYFUNCTION("COUNTIF(FILTER('SLR Repository'!AT:AT, 'SLR Repository'!H:H = $A109, 'SLR Repository'!AT:AT &lt;&gt; """"), ""x"")"),0.0)</f>
        <v>0</v>
      </c>
      <c r="E109" s="61">
        <f>IFERROR(__xludf.DUMMYFUNCTION("COUNTIF(FILTER('SLR Repository'!AU:AU, 'SLR Repository'!H:H = $A109, 'SLR Repository'!AU:AU &lt;&gt; """"), ""x"")"),0.0)</f>
        <v>0</v>
      </c>
      <c r="F109" s="61">
        <f>IFERROR(__xludf.DUMMYFUNCTION("COUNTIF(FILTER('SLR Repository'!AV:AV, 'SLR Repository'!H:H = $A109, 'SLR Repository'!AV:AV &lt;&gt; """"), ""x"")"),0.0)</f>
        <v>0</v>
      </c>
      <c r="G109" s="61">
        <f>IFERROR(__xludf.DUMMYFUNCTION("COUNTIF(FILTER('SLR Repository'!AW:AW, 'SLR Repository'!H:H = $A109, 'SLR Repository'!AW:AW &lt;&gt; """"), ""x"")"),0.0)</f>
        <v>0</v>
      </c>
      <c r="H109" s="61">
        <f>IFERROR(__xludf.DUMMYFUNCTION("COUNTIF(FILTER('SLR Repository'!AX:AX, 'SLR Repository'!H:H = $A109, 'SLR Repository'!AX:AX &lt;&gt; """"), ""x"")"),0.0)</f>
        <v>0</v>
      </c>
      <c r="I109" s="61">
        <f>IFERROR(__xludf.DUMMYFUNCTION("COUNTIF(FILTER('SLR Repository'!AY:AY, 'SLR Repository'!H:H = $A109, 'SLR Repository'!AY:AY &lt;&gt; """"), ""x"")"),0.0)</f>
        <v>0</v>
      </c>
      <c r="J109" s="61">
        <f>IFERROR(__xludf.DUMMYFUNCTION("COUNTIF(FILTER('SLR Repository'!AZ:AZ, 'SLR Repository'!H:H = $A109, 'SLR Repository'!AZ:AZ &lt;&gt; """"), ""x"")"),0.0)</f>
        <v>0</v>
      </c>
      <c r="K109" s="61">
        <f>IFERROR(__xludf.DUMMYFUNCTION("COUNTIF(FILTER('SLR Repository'!BA:BA, 'SLR Repository'!H:H = $A109, 'SLR Repository'!BA:BA &lt;&gt; """"), ""x"")"),0.0)</f>
        <v>0</v>
      </c>
    </row>
    <row r="110">
      <c r="A110" s="172">
        <f t="shared" si="5"/>
        <v>2004</v>
      </c>
      <c r="B110" s="61">
        <f>IFERROR(__xludf.DUMMYFUNCTION("COUNTIF(FILTER('SLR Repository'!AR:AR, 'SLR Repository'!H:H = $A110, 'SLR Repository'!AR:AR &lt;&gt; """"), ""x"")"),0.0)</f>
        <v>0</v>
      </c>
      <c r="C110" s="61">
        <f>IFERROR(__xludf.DUMMYFUNCTION("COUNTIF(FILTER('SLR Repository'!AS:AS, 'SLR Repository'!H:H = $A110, 'SLR Repository'!AS:AS &lt;&gt; """"), ""x"")"),0.0)</f>
        <v>0</v>
      </c>
      <c r="D110" s="61">
        <f>IFERROR(__xludf.DUMMYFUNCTION("COUNTIF(FILTER('SLR Repository'!AT:AT, 'SLR Repository'!H:H = $A110, 'SLR Repository'!AT:AT &lt;&gt; """"), ""x"")"),0.0)</f>
        <v>0</v>
      </c>
      <c r="E110" s="61">
        <f>IFERROR(__xludf.DUMMYFUNCTION("COUNTIF(FILTER('SLR Repository'!AU:AU, 'SLR Repository'!H:H = $A110, 'SLR Repository'!AU:AU &lt;&gt; """"), ""x"")"),0.0)</f>
        <v>0</v>
      </c>
      <c r="F110" s="61">
        <f>IFERROR(__xludf.DUMMYFUNCTION("COUNTIF(FILTER('SLR Repository'!AV:AV, 'SLR Repository'!H:H = $A110, 'SLR Repository'!AV:AV &lt;&gt; """"), ""x"")"),0.0)</f>
        <v>0</v>
      </c>
      <c r="G110" s="61">
        <f>IFERROR(__xludf.DUMMYFUNCTION("COUNTIF(FILTER('SLR Repository'!AW:AW, 'SLR Repository'!H:H = $A110, 'SLR Repository'!AW:AW &lt;&gt; """"), ""x"")"),0.0)</f>
        <v>0</v>
      </c>
      <c r="H110" s="61">
        <f>IFERROR(__xludf.DUMMYFUNCTION("COUNTIF(FILTER('SLR Repository'!AX:AX, 'SLR Repository'!H:H = $A110, 'SLR Repository'!AX:AX &lt;&gt; """"), ""x"")"),0.0)</f>
        <v>0</v>
      </c>
      <c r="I110" s="61">
        <f>IFERROR(__xludf.DUMMYFUNCTION("COUNTIF(FILTER('SLR Repository'!AY:AY, 'SLR Repository'!H:H = $A110, 'SLR Repository'!AY:AY &lt;&gt; """"), ""x"")"),0.0)</f>
        <v>0</v>
      </c>
      <c r="J110" s="61">
        <f>IFERROR(__xludf.DUMMYFUNCTION("COUNTIF(FILTER('SLR Repository'!AZ:AZ, 'SLR Repository'!H:H = $A110, 'SLR Repository'!AZ:AZ &lt;&gt; """"), ""x"")"),0.0)</f>
        <v>0</v>
      </c>
      <c r="K110" s="61">
        <f>IFERROR(__xludf.DUMMYFUNCTION("COUNTIF(FILTER('SLR Repository'!BA:BA, 'SLR Repository'!H:H = $A110, 'SLR Repository'!BA:BA &lt;&gt; """"), ""x"")"),0.0)</f>
        <v>0</v>
      </c>
    </row>
    <row r="111">
      <c r="A111" s="172">
        <f t="shared" si="5"/>
        <v>2005</v>
      </c>
      <c r="B111" s="61">
        <f>IFERROR(__xludf.DUMMYFUNCTION("COUNTIF(FILTER('SLR Repository'!AR:AR, 'SLR Repository'!H:H = $A111, 'SLR Repository'!AR:AR &lt;&gt; """"), ""x"")"),1.0)</f>
        <v>1</v>
      </c>
      <c r="C111" s="61">
        <f>IFERROR(__xludf.DUMMYFUNCTION("COUNTIF(FILTER('SLR Repository'!AS:AS, 'SLR Repository'!H:H = $A111, 'SLR Repository'!AS:AS &lt;&gt; """"), ""x"")"),0.0)</f>
        <v>0</v>
      </c>
      <c r="D111" s="61">
        <f>IFERROR(__xludf.DUMMYFUNCTION("COUNTIF(FILTER('SLR Repository'!AT:AT, 'SLR Repository'!H:H = $A111, 'SLR Repository'!AT:AT &lt;&gt; """"), ""x"")"),0.0)</f>
        <v>0</v>
      </c>
      <c r="E111" s="61">
        <f>IFERROR(__xludf.DUMMYFUNCTION("COUNTIF(FILTER('SLR Repository'!AU:AU, 'SLR Repository'!H:H = $A111, 'SLR Repository'!AU:AU &lt;&gt; """"), ""x"")"),0.0)</f>
        <v>0</v>
      </c>
      <c r="F111" s="61">
        <f>IFERROR(__xludf.DUMMYFUNCTION("COUNTIF(FILTER('SLR Repository'!AV:AV, 'SLR Repository'!H:H = $A111, 'SLR Repository'!AV:AV &lt;&gt; """"), ""x"")"),3.0)</f>
        <v>3</v>
      </c>
      <c r="G111" s="61">
        <f>IFERROR(__xludf.DUMMYFUNCTION("COUNTIF(FILTER('SLR Repository'!AW:AW, 'SLR Repository'!H:H = $A111, 'SLR Repository'!AW:AW &lt;&gt; """"), ""x"")"),0.0)</f>
        <v>0</v>
      </c>
      <c r="H111" s="61">
        <f>IFERROR(__xludf.DUMMYFUNCTION("COUNTIF(FILTER('SLR Repository'!AX:AX, 'SLR Repository'!H:H = $A111, 'SLR Repository'!AX:AX &lt;&gt; """"), ""x"")"),0.0)</f>
        <v>0</v>
      </c>
      <c r="I111" s="61">
        <f>IFERROR(__xludf.DUMMYFUNCTION("COUNTIF(FILTER('SLR Repository'!AY:AY, 'SLR Repository'!H:H = $A111, 'SLR Repository'!AY:AY &lt;&gt; """"), ""x"")"),1.0)</f>
        <v>1</v>
      </c>
      <c r="J111" s="61">
        <f>IFERROR(__xludf.DUMMYFUNCTION("COUNTIF(FILTER('SLR Repository'!AZ:AZ, 'SLR Repository'!H:H = $A111, 'SLR Repository'!AZ:AZ &lt;&gt; """"), ""x"")"),0.0)</f>
        <v>0</v>
      </c>
      <c r="K111" s="61">
        <f>IFERROR(__xludf.DUMMYFUNCTION("COUNTIF(FILTER('SLR Repository'!BA:BA, 'SLR Repository'!H:H = $A111, 'SLR Repository'!BA:BA &lt;&gt; """"), ""x"")"),0.0)</f>
        <v>0</v>
      </c>
    </row>
    <row r="112">
      <c r="A112" s="172">
        <f t="shared" si="5"/>
        <v>2006</v>
      </c>
      <c r="B112" s="61">
        <f>IFERROR(__xludf.DUMMYFUNCTION("COUNTIF(FILTER('SLR Repository'!AR:AR, 'SLR Repository'!H:H = $A112, 'SLR Repository'!AR:AR &lt;&gt; """"), ""x"")"),1.0)</f>
        <v>1</v>
      </c>
      <c r="C112" s="61">
        <f>IFERROR(__xludf.DUMMYFUNCTION("COUNTIF(FILTER('SLR Repository'!AS:AS, 'SLR Repository'!H:H = $A112, 'SLR Repository'!AS:AS &lt;&gt; """"), ""x"")"),2.0)</f>
        <v>2</v>
      </c>
      <c r="D112" s="61">
        <f>IFERROR(__xludf.DUMMYFUNCTION("COUNTIF(FILTER('SLR Repository'!AT:AT, 'SLR Repository'!H:H = $A112, 'SLR Repository'!AT:AT &lt;&gt; """"), ""x"")"),0.0)</f>
        <v>0</v>
      </c>
      <c r="E112" s="61">
        <f>IFERROR(__xludf.DUMMYFUNCTION("COUNTIF(FILTER('SLR Repository'!AU:AU, 'SLR Repository'!H:H = $A112, 'SLR Repository'!AU:AU &lt;&gt; """"), ""x"")"),0.0)</f>
        <v>0</v>
      </c>
      <c r="F112" s="61">
        <f>IFERROR(__xludf.DUMMYFUNCTION("COUNTIF(FILTER('SLR Repository'!AV:AV, 'SLR Repository'!H:H = $A112, 'SLR Repository'!AV:AV &lt;&gt; """"), ""x"")"),2.0)</f>
        <v>2</v>
      </c>
      <c r="G112" s="61">
        <f>IFERROR(__xludf.DUMMYFUNCTION("COUNTIF(FILTER('SLR Repository'!AW:AW, 'SLR Repository'!H:H = $A112, 'SLR Repository'!AW:AW &lt;&gt; """"), ""x"")"),0.0)</f>
        <v>0</v>
      </c>
      <c r="H112" s="61">
        <f>IFERROR(__xludf.DUMMYFUNCTION("COUNTIF(FILTER('SLR Repository'!AX:AX, 'SLR Repository'!H:H = $A112, 'SLR Repository'!AX:AX &lt;&gt; """"), ""x"")"),0.0)</f>
        <v>0</v>
      </c>
      <c r="I112" s="61">
        <f>IFERROR(__xludf.DUMMYFUNCTION("COUNTIF(FILTER('SLR Repository'!AY:AY, 'SLR Repository'!H:H = $A112, 'SLR Repository'!AY:AY &lt;&gt; """"), ""x"")"),0.0)</f>
        <v>0</v>
      </c>
      <c r="J112" s="61">
        <f>IFERROR(__xludf.DUMMYFUNCTION("COUNTIF(FILTER('SLR Repository'!AZ:AZ, 'SLR Repository'!H:H = $A112, 'SLR Repository'!AZ:AZ &lt;&gt; """"), ""x"")"),0.0)</f>
        <v>0</v>
      </c>
      <c r="K112" s="61">
        <f>IFERROR(__xludf.DUMMYFUNCTION("COUNTIF(FILTER('SLR Repository'!BA:BA, 'SLR Repository'!H:H = $A112, 'SLR Repository'!BA:BA &lt;&gt; """"), ""x"")"),1.0)</f>
        <v>1</v>
      </c>
    </row>
    <row r="113">
      <c r="A113" s="172">
        <f t="shared" si="5"/>
        <v>2007</v>
      </c>
      <c r="B113" s="61">
        <f>IFERROR(__xludf.DUMMYFUNCTION("COUNTIF(FILTER('SLR Repository'!AR:AR, 'SLR Repository'!H:H = $A113, 'SLR Repository'!AR:AR &lt;&gt; """"), ""x"")"),1.0)</f>
        <v>1</v>
      </c>
      <c r="C113" s="61">
        <f>IFERROR(__xludf.DUMMYFUNCTION("COUNTIF(FILTER('SLR Repository'!AS:AS, 'SLR Repository'!H:H = $A113, 'SLR Repository'!AS:AS &lt;&gt; """"), ""x"")"),0.0)</f>
        <v>0</v>
      </c>
      <c r="D113" s="61">
        <f>IFERROR(__xludf.DUMMYFUNCTION("COUNTIF(FILTER('SLR Repository'!AT:AT, 'SLR Repository'!H:H = $A113, 'SLR Repository'!AT:AT &lt;&gt; """"), ""x"")"),0.0)</f>
        <v>0</v>
      </c>
      <c r="E113" s="61">
        <f>IFERROR(__xludf.DUMMYFUNCTION("COUNTIF(FILTER('SLR Repository'!AU:AU, 'SLR Repository'!H:H = $A113, 'SLR Repository'!AU:AU &lt;&gt; """"), ""x"")"),0.0)</f>
        <v>0</v>
      </c>
      <c r="F113" s="61">
        <f>IFERROR(__xludf.DUMMYFUNCTION("COUNTIF(FILTER('SLR Repository'!AV:AV, 'SLR Repository'!H:H = $A113, 'SLR Repository'!AV:AV &lt;&gt; """"), ""x"")"),0.0)</f>
        <v>0</v>
      </c>
      <c r="G113" s="61">
        <f>IFERROR(__xludf.DUMMYFUNCTION("COUNTIF(FILTER('SLR Repository'!AW:AW, 'SLR Repository'!H:H = $A113, 'SLR Repository'!AW:AW &lt;&gt; """"), ""x"")"),0.0)</f>
        <v>0</v>
      </c>
      <c r="H113" s="61">
        <f>IFERROR(__xludf.DUMMYFUNCTION("COUNTIF(FILTER('SLR Repository'!AX:AX, 'SLR Repository'!H:H = $A113, 'SLR Repository'!AX:AX &lt;&gt; """"), ""x"")"),0.0)</f>
        <v>0</v>
      </c>
      <c r="I113" s="61">
        <f>IFERROR(__xludf.DUMMYFUNCTION("COUNTIF(FILTER('SLR Repository'!AY:AY, 'SLR Repository'!H:H = $A113, 'SLR Repository'!AY:AY &lt;&gt; """"), ""x"")"),1.0)</f>
        <v>1</v>
      </c>
      <c r="J113" s="61">
        <f>IFERROR(__xludf.DUMMYFUNCTION("COUNTIF(FILTER('SLR Repository'!AZ:AZ, 'SLR Repository'!H:H = $A113, 'SLR Repository'!AZ:AZ &lt;&gt; """"), ""x"")"),1.0)</f>
        <v>1</v>
      </c>
      <c r="K113" s="61">
        <f>IFERROR(__xludf.DUMMYFUNCTION("COUNTIF(FILTER('SLR Repository'!BA:BA, 'SLR Repository'!H:H = $A113, 'SLR Repository'!BA:BA &lt;&gt; """"), ""x"")"),0.0)</f>
        <v>0</v>
      </c>
    </row>
    <row r="114">
      <c r="A114" s="172">
        <f t="shared" si="5"/>
        <v>2008</v>
      </c>
      <c r="B114" s="61">
        <f>IFERROR(__xludf.DUMMYFUNCTION("COUNTIF(FILTER('SLR Repository'!AR:AR, 'SLR Repository'!H:H = $A114, 'SLR Repository'!AR:AR &lt;&gt; """"), ""x"")"),1.0)</f>
        <v>1</v>
      </c>
      <c r="C114" s="61">
        <f>IFERROR(__xludf.DUMMYFUNCTION("COUNTIF(FILTER('SLR Repository'!AS:AS, 'SLR Repository'!H:H = $A114, 'SLR Repository'!AS:AS &lt;&gt; """"), ""x"")"),0.0)</f>
        <v>0</v>
      </c>
      <c r="D114" s="61">
        <f>IFERROR(__xludf.DUMMYFUNCTION("COUNTIF(FILTER('SLR Repository'!AT:AT, 'SLR Repository'!H:H = $A114, 'SLR Repository'!AT:AT &lt;&gt; """"), ""x"")"),1.0)</f>
        <v>1</v>
      </c>
      <c r="E114" s="61">
        <f>IFERROR(__xludf.DUMMYFUNCTION("COUNTIF(FILTER('SLR Repository'!AU:AU, 'SLR Repository'!H:H = $A114, 'SLR Repository'!AU:AU &lt;&gt; """"), ""x"")"),2.0)</f>
        <v>2</v>
      </c>
      <c r="F114" s="61">
        <f>IFERROR(__xludf.DUMMYFUNCTION("COUNTIF(FILTER('SLR Repository'!AV:AV, 'SLR Repository'!H:H = $A114, 'SLR Repository'!AV:AV &lt;&gt; """"), ""x"")"),2.0)</f>
        <v>2</v>
      </c>
      <c r="G114" s="61">
        <f>IFERROR(__xludf.DUMMYFUNCTION("COUNTIF(FILTER('SLR Repository'!AW:AW, 'SLR Repository'!H:H = $A114, 'SLR Repository'!AW:AW &lt;&gt; """"), ""x"")"),0.0)</f>
        <v>0</v>
      </c>
      <c r="H114" s="61">
        <f>IFERROR(__xludf.DUMMYFUNCTION("COUNTIF(FILTER('SLR Repository'!AX:AX, 'SLR Repository'!H:H = $A114, 'SLR Repository'!AX:AX &lt;&gt; """"), ""x"")"),1.0)</f>
        <v>1</v>
      </c>
      <c r="I114" s="61">
        <f>IFERROR(__xludf.DUMMYFUNCTION("COUNTIF(FILTER('SLR Repository'!AY:AY, 'SLR Repository'!H:H = $A114, 'SLR Repository'!AY:AY &lt;&gt; """"), ""x"")"),1.0)</f>
        <v>1</v>
      </c>
      <c r="J114" s="61">
        <f>IFERROR(__xludf.DUMMYFUNCTION("COUNTIF(FILTER('SLR Repository'!AZ:AZ, 'SLR Repository'!H:H = $A114, 'SLR Repository'!AZ:AZ &lt;&gt; """"), ""x"")"),1.0)</f>
        <v>1</v>
      </c>
      <c r="K114" s="61">
        <f>IFERROR(__xludf.DUMMYFUNCTION("COUNTIF(FILTER('SLR Repository'!BA:BA, 'SLR Repository'!H:H = $A114, 'SLR Repository'!BA:BA &lt;&gt; """"), ""x"")"),1.0)</f>
        <v>1</v>
      </c>
    </row>
    <row r="115">
      <c r="A115" s="172">
        <f t="shared" si="5"/>
        <v>2009</v>
      </c>
      <c r="B115" s="61">
        <f>IFERROR(__xludf.DUMMYFUNCTION("COUNTIF(FILTER('SLR Repository'!AR:AR, 'SLR Repository'!H:H = $A115, 'SLR Repository'!AR:AR &lt;&gt; """"), ""x"")"),0.0)</f>
        <v>0</v>
      </c>
      <c r="C115" s="61">
        <f>IFERROR(__xludf.DUMMYFUNCTION("COUNTIF(FILTER('SLR Repository'!AS:AS, 'SLR Repository'!H:H = $A115, 'SLR Repository'!AS:AS &lt;&gt; """"), ""x"")"),0.0)</f>
        <v>0</v>
      </c>
      <c r="D115" s="61">
        <f>IFERROR(__xludf.DUMMYFUNCTION("COUNTIF(FILTER('SLR Repository'!AT:AT, 'SLR Repository'!H:H = $A115, 'SLR Repository'!AT:AT &lt;&gt; """"), ""x"")"),0.0)</f>
        <v>0</v>
      </c>
      <c r="E115" s="61">
        <f>IFERROR(__xludf.DUMMYFUNCTION("COUNTIF(FILTER('SLR Repository'!AU:AU, 'SLR Repository'!H:H = $A115, 'SLR Repository'!AU:AU &lt;&gt; """"), ""x"")"),1.0)</f>
        <v>1</v>
      </c>
      <c r="F115" s="61">
        <f>IFERROR(__xludf.DUMMYFUNCTION("COUNTIF(FILTER('SLR Repository'!AV:AV, 'SLR Repository'!H:H = $A115, 'SLR Repository'!AV:AV &lt;&gt; """"), ""x"")"),1.0)</f>
        <v>1</v>
      </c>
      <c r="G115" s="61">
        <f>IFERROR(__xludf.DUMMYFUNCTION("COUNTIF(FILTER('SLR Repository'!AW:AW, 'SLR Repository'!H:H = $A115, 'SLR Repository'!AW:AW &lt;&gt; """"), ""x"")"),0.0)</f>
        <v>0</v>
      </c>
      <c r="H115" s="61">
        <f>IFERROR(__xludf.DUMMYFUNCTION("COUNTIF(FILTER('SLR Repository'!AX:AX, 'SLR Repository'!H:H = $A115, 'SLR Repository'!AX:AX &lt;&gt; """"), ""x"")"),0.0)</f>
        <v>0</v>
      </c>
      <c r="I115" s="61">
        <f>IFERROR(__xludf.DUMMYFUNCTION("COUNTIF(FILTER('SLR Repository'!AY:AY, 'SLR Repository'!H:H = $A115, 'SLR Repository'!AY:AY &lt;&gt; """"), ""x"")"),1.0)</f>
        <v>1</v>
      </c>
      <c r="J115" s="61">
        <f>IFERROR(__xludf.DUMMYFUNCTION("COUNTIF(FILTER('SLR Repository'!AZ:AZ, 'SLR Repository'!H:H = $A115, 'SLR Repository'!AZ:AZ &lt;&gt; """"), ""x"")"),2.0)</f>
        <v>2</v>
      </c>
      <c r="K115" s="61">
        <f>IFERROR(__xludf.DUMMYFUNCTION("COUNTIF(FILTER('SLR Repository'!BA:BA, 'SLR Repository'!H:H = $A115, 'SLR Repository'!BA:BA &lt;&gt; """"), ""x"")"),0.0)</f>
        <v>0</v>
      </c>
    </row>
    <row r="116">
      <c r="A116" s="172">
        <f t="shared" si="5"/>
        <v>2010</v>
      </c>
      <c r="B116" s="61">
        <f>IFERROR(__xludf.DUMMYFUNCTION("COUNTIF(FILTER('SLR Repository'!AR:AR, 'SLR Repository'!H:H = $A116, 'SLR Repository'!AR:AR &lt;&gt; """"), ""x"")"),0.0)</f>
        <v>0</v>
      </c>
      <c r="C116" s="61">
        <f>IFERROR(__xludf.DUMMYFUNCTION("COUNTIF(FILTER('SLR Repository'!AS:AS, 'SLR Repository'!H:H = $A116, 'SLR Repository'!AS:AS &lt;&gt; """"), ""x"")"),1.0)</f>
        <v>1</v>
      </c>
      <c r="D116" s="61">
        <f>IFERROR(__xludf.DUMMYFUNCTION("COUNTIF(FILTER('SLR Repository'!AT:AT, 'SLR Repository'!H:H = $A116, 'SLR Repository'!AT:AT &lt;&gt; """"), ""x"")"),1.0)</f>
        <v>1</v>
      </c>
      <c r="E116" s="61">
        <f>IFERROR(__xludf.DUMMYFUNCTION("COUNTIF(FILTER('SLR Repository'!AU:AU, 'SLR Repository'!H:H = $A116, 'SLR Repository'!AU:AU &lt;&gt; """"), ""x"")"),1.0)</f>
        <v>1</v>
      </c>
      <c r="F116" s="61">
        <f>IFERROR(__xludf.DUMMYFUNCTION("COUNTIF(FILTER('SLR Repository'!AV:AV, 'SLR Repository'!H:H = $A116, 'SLR Repository'!AV:AV &lt;&gt; """"), ""x"")"),2.0)</f>
        <v>2</v>
      </c>
      <c r="G116" s="61">
        <f>IFERROR(__xludf.DUMMYFUNCTION("COUNTIF(FILTER('SLR Repository'!AW:AW, 'SLR Repository'!H:H = $A116, 'SLR Repository'!AW:AW &lt;&gt; """"), ""x"")"),1.0)</f>
        <v>1</v>
      </c>
      <c r="H116" s="61">
        <f>IFERROR(__xludf.DUMMYFUNCTION("COUNTIF(FILTER('SLR Repository'!AX:AX, 'SLR Repository'!H:H = $A116, 'SLR Repository'!AX:AX &lt;&gt; """"), ""x"")"),1.0)</f>
        <v>1</v>
      </c>
      <c r="I116" s="61">
        <f>IFERROR(__xludf.DUMMYFUNCTION("COUNTIF(FILTER('SLR Repository'!AY:AY, 'SLR Repository'!H:H = $A116, 'SLR Repository'!AY:AY &lt;&gt; """"), ""x"")"),0.0)</f>
        <v>0</v>
      </c>
      <c r="J116" s="61">
        <f>IFERROR(__xludf.DUMMYFUNCTION("COUNTIF(FILTER('SLR Repository'!AZ:AZ, 'SLR Repository'!H:H = $A116, 'SLR Repository'!AZ:AZ &lt;&gt; """"), ""x"")"),3.0)</f>
        <v>3</v>
      </c>
      <c r="K116" s="61">
        <f>IFERROR(__xludf.DUMMYFUNCTION("COUNTIF(FILTER('SLR Repository'!BA:BA, 'SLR Repository'!H:H = $A116, 'SLR Repository'!BA:BA &lt;&gt; """"), ""x"")"),2.0)</f>
        <v>2</v>
      </c>
    </row>
    <row r="117">
      <c r="A117" s="172">
        <f t="shared" si="5"/>
        <v>2011</v>
      </c>
      <c r="B117" s="61">
        <f>IFERROR(__xludf.DUMMYFUNCTION("COUNTIF(FILTER('SLR Repository'!AR:AR, 'SLR Repository'!H:H = $A117, 'SLR Repository'!AR:AR &lt;&gt; """"), ""x"")"),2.0)</f>
        <v>2</v>
      </c>
      <c r="C117" s="61">
        <f>IFERROR(__xludf.DUMMYFUNCTION("COUNTIF(FILTER('SLR Repository'!AS:AS, 'SLR Repository'!H:H = $A117, 'SLR Repository'!AS:AS &lt;&gt; """"), ""x"")"),1.0)</f>
        <v>1</v>
      </c>
      <c r="D117" s="61">
        <f>IFERROR(__xludf.DUMMYFUNCTION("COUNTIF(FILTER('SLR Repository'!AT:AT, 'SLR Repository'!H:H = $A117, 'SLR Repository'!AT:AT &lt;&gt; """"), ""x"")"),0.0)</f>
        <v>0</v>
      </c>
      <c r="E117" s="61">
        <f>IFERROR(__xludf.DUMMYFUNCTION("COUNTIF(FILTER('SLR Repository'!AU:AU, 'SLR Repository'!H:H = $A117, 'SLR Repository'!AU:AU &lt;&gt; """"), ""x"")"),1.0)</f>
        <v>1</v>
      </c>
      <c r="F117" s="61">
        <f>IFERROR(__xludf.DUMMYFUNCTION("COUNTIF(FILTER('SLR Repository'!AV:AV, 'SLR Repository'!H:H = $A117, 'SLR Repository'!AV:AV &lt;&gt; """"), ""x"")"),2.0)</f>
        <v>2</v>
      </c>
      <c r="G117" s="61">
        <f>IFERROR(__xludf.DUMMYFUNCTION("COUNTIF(FILTER('SLR Repository'!AW:AW, 'SLR Repository'!H:H = $A117, 'SLR Repository'!AW:AW &lt;&gt; """"), ""x"")"),1.0)</f>
        <v>1</v>
      </c>
      <c r="H117" s="61">
        <f>IFERROR(__xludf.DUMMYFUNCTION("COUNTIF(FILTER('SLR Repository'!AX:AX, 'SLR Repository'!H:H = $A117, 'SLR Repository'!AX:AX &lt;&gt; """"), ""x"")"),1.0)</f>
        <v>1</v>
      </c>
      <c r="I117" s="61">
        <f>IFERROR(__xludf.DUMMYFUNCTION("COUNTIF(FILTER('SLR Repository'!AY:AY, 'SLR Repository'!H:H = $A117, 'SLR Repository'!AY:AY &lt;&gt; """"), ""x"")"),0.0)</f>
        <v>0</v>
      </c>
      <c r="J117" s="61">
        <f>IFERROR(__xludf.DUMMYFUNCTION("COUNTIF(FILTER('SLR Repository'!AZ:AZ, 'SLR Repository'!H:H = $A117, 'SLR Repository'!AZ:AZ &lt;&gt; """"), ""x"")"),1.0)</f>
        <v>1</v>
      </c>
      <c r="K117" s="61">
        <f>IFERROR(__xludf.DUMMYFUNCTION("COUNTIF(FILTER('SLR Repository'!BA:BA, 'SLR Repository'!H:H = $A117, 'SLR Repository'!BA:BA &lt;&gt; """"), ""x"")"),0.0)</f>
        <v>0</v>
      </c>
    </row>
    <row r="118">
      <c r="A118" s="172">
        <f t="shared" si="5"/>
        <v>2012</v>
      </c>
      <c r="B118" s="61">
        <f>IFERROR(__xludf.DUMMYFUNCTION("COUNTIF(FILTER('SLR Repository'!AR:AR, 'SLR Repository'!H:H = $A118, 'SLR Repository'!AR:AR &lt;&gt; """"), ""x"")"),0.0)</f>
        <v>0</v>
      </c>
      <c r="C118" s="61">
        <f>IFERROR(__xludf.DUMMYFUNCTION("COUNTIF(FILTER('SLR Repository'!AS:AS, 'SLR Repository'!H:H = $A118, 'SLR Repository'!AS:AS &lt;&gt; """"), ""x"")"),0.0)</f>
        <v>0</v>
      </c>
      <c r="D118" s="61">
        <f>IFERROR(__xludf.DUMMYFUNCTION("COUNTIF(FILTER('SLR Repository'!AT:AT, 'SLR Repository'!H:H = $A118, 'SLR Repository'!AT:AT &lt;&gt; """"), ""x"")"),1.0)</f>
        <v>1</v>
      </c>
      <c r="E118" s="61">
        <f>IFERROR(__xludf.DUMMYFUNCTION("COUNTIF(FILTER('SLR Repository'!AU:AU, 'SLR Repository'!H:H = $A118, 'SLR Repository'!AU:AU &lt;&gt; """"), ""x"")"),1.0)</f>
        <v>1</v>
      </c>
      <c r="F118" s="61">
        <f>IFERROR(__xludf.DUMMYFUNCTION("COUNTIF(FILTER('SLR Repository'!AV:AV, 'SLR Repository'!H:H = $A118, 'SLR Repository'!AV:AV &lt;&gt; """"), ""x"")"),1.0)</f>
        <v>1</v>
      </c>
      <c r="G118" s="61">
        <f>IFERROR(__xludf.DUMMYFUNCTION("COUNTIF(FILTER('SLR Repository'!AW:AW, 'SLR Repository'!H:H = $A118, 'SLR Repository'!AW:AW &lt;&gt; """"), ""x"")"),1.0)</f>
        <v>1</v>
      </c>
      <c r="H118" s="61">
        <f>IFERROR(__xludf.DUMMYFUNCTION("COUNTIF(FILTER('SLR Repository'!AX:AX, 'SLR Repository'!H:H = $A118, 'SLR Repository'!AX:AX &lt;&gt; """"), ""x"")"),2.0)</f>
        <v>2</v>
      </c>
      <c r="I118" s="61">
        <f>IFERROR(__xludf.DUMMYFUNCTION("COUNTIF(FILTER('SLR Repository'!AY:AY, 'SLR Repository'!H:H = $A118, 'SLR Repository'!AY:AY &lt;&gt; """"), ""x"")"),0.0)</f>
        <v>0</v>
      </c>
      <c r="J118" s="61">
        <f>IFERROR(__xludf.DUMMYFUNCTION("COUNTIF(FILTER('SLR Repository'!AZ:AZ, 'SLR Repository'!H:H = $A118, 'SLR Repository'!AZ:AZ &lt;&gt; """"), ""x"")"),1.0)</f>
        <v>1</v>
      </c>
      <c r="K118" s="61">
        <f>IFERROR(__xludf.DUMMYFUNCTION("COUNTIF(FILTER('SLR Repository'!BA:BA, 'SLR Repository'!H:H = $A118, 'SLR Repository'!BA:BA &lt;&gt; """"), ""x"")"),0.0)</f>
        <v>0</v>
      </c>
    </row>
    <row r="119">
      <c r="A119" s="172">
        <f t="shared" si="5"/>
        <v>2013</v>
      </c>
      <c r="B119" s="61">
        <f>IFERROR(__xludf.DUMMYFUNCTION("COUNTIF(FILTER('SLR Repository'!AR:AR, 'SLR Repository'!H:H = $A119, 'SLR Repository'!AR:AR &lt;&gt; """"), ""x"")"),1.0)</f>
        <v>1</v>
      </c>
      <c r="C119" s="61">
        <f>IFERROR(__xludf.DUMMYFUNCTION("COUNTIF(FILTER('SLR Repository'!AS:AS, 'SLR Repository'!H:H = $A119, 'SLR Repository'!AS:AS &lt;&gt; """"), ""x"")"),0.0)</f>
        <v>0</v>
      </c>
      <c r="D119" s="61">
        <f>IFERROR(__xludf.DUMMYFUNCTION("COUNTIF(FILTER('SLR Repository'!AT:AT, 'SLR Repository'!H:H = $A119, 'SLR Repository'!AT:AT &lt;&gt; """"), ""x"")"),0.0)</f>
        <v>0</v>
      </c>
      <c r="E119" s="61">
        <f>IFERROR(__xludf.DUMMYFUNCTION("COUNTIF(FILTER('SLR Repository'!AU:AU, 'SLR Repository'!H:H = $A119, 'SLR Repository'!AU:AU &lt;&gt; """"), ""x"")"),0.0)</f>
        <v>0</v>
      </c>
      <c r="F119" s="61">
        <f>IFERROR(__xludf.DUMMYFUNCTION("COUNTIF(FILTER('SLR Repository'!AV:AV, 'SLR Repository'!H:H = $A119, 'SLR Repository'!AV:AV &lt;&gt; """"), ""x"")"),2.0)</f>
        <v>2</v>
      </c>
      <c r="G119" s="61">
        <f>IFERROR(__xludf.DUMMYFUNCTION("COUNTIF(FILTER('SLR Repository'!AW:AW, 'SLR Repository'!H:H = $A119, 'SLR Repository'!AW:AW &lt;&gt; """"), ""x"")"),0.0)</f>
        <v>0</v>
      </c>
      <c r="H119" s="61">
        <f>IFERROR(__xludf.DUMMYFUNCTION("COUNTIF(FILTER('SLR Repository'!AX:AX, 'SLR Repository'!H:H = $A119, 'SLR Repository'!AX:AX &lt;&gt; """"), ""x"")"),0.0)</f>
        <v>0</v>
      </c>
      <c r="I119" s="61">
        <f>IFERROR(__xludf.DUMMYFUNCTION("COUNTIF(FILTER('SLR Repository'!AY:AY, 'SLR Repository'!H:H = $A119, 'SLR Repository'!AY:AY &lt;&gt; """"), ""x"")"),0.0)</f>
        <v>0</v>
      </c>
      <c r="J119" s="61">
        <f>IFERROR(__xludf.DUMMYFUNCTION("COUNTIF(FILTER('SLR Repository'!AZ:AZ, 'SLR Repository'!H:H = $A119, 'SLR Repository'!AZ:AZ &lt;&gt; """"), ""x"")"),0.0)</f>
        <v>0</v>
      </c>
      <c r="K119" s="61">
        <f>IFERROR(__xludf.DUMMYFUNCTION("COUNTIF(FILTER('SLR Repository'!BA:BA, 'SLR Repository'!H:H = $A119, 'SLR Repository'!BA:BA &lt;&gt; """"), ""x"")"),0.0)</f>
        <v>0</v>
      </c>
    </row>
    <row r="120">
      <c r="B120" s="13">
        <f t="shared" ref="B120:K120" si="6">sum(B106:B119)</f>
        <v>7</v>
      </c>
      <c r="C120" s="13">
        <f t="shared" si="6"/>
        <v>5</v>
      </c>
      <c r="D120" s="13">
        <f t="shared" si="6"/>
        <v>3</v>
      </c>
      <c r="E120" s="13">
        <f t="shared" si="6"/>
        <v>6</v>
      </c>
      <c r="F120" s="13">
        <f t="shared" si="6"/>
        <v>16</v>
      </c>
      <c r="G120" s="13">
        <f t="shared" si="6"/>
        <v>3</v>
      </c>
      <c r="H120" s="13">
        <f t="shared" si="6"/>
        <v>5</v>
      </c>
      <c r="I120" s="13">
        <f t="shared" si="6"/>
        <v>4</v>
      </c>
      <c r="J120" s="13">
        <f t="shared" si="6"/>
        <v>9</v>
      </c>
      <c r="K120" s="13">
        <f t="shared" si="6"/>
        <v>4</v>
      </c>
    </row>
    <row r="124">
      <c r="A124" s="178"/>
      <c r="B124" s="64" t="s">
        <v>76</v>
      </c>
      <c r="C124" s="64" t="s">
        <v>77</v>
      </c>
      <c r="D124" s="64" t="s">
        <v>78</v>
      </c>
      <c r="E124" s="64" t="s">
        <v>79</v>
      </c>
      <c r="F124" s="64" t="s">
        <v>80</v>
      </c>
      <c r="G124" s="64" t="s">
        <v>81</v>
      </c>
      <c r="H124" s="64" t="s">
        <v>82</v>
      </c>
      <c r="I124" s="64" t="s">
        <v>83</v>
      </c>
      <c r="J124" s="64" t="s">
        <v>84</v>
      </c>
      <c r="K124" s="64" t="s">
        <v>85</v>
      </c>
    </row>
    <row r="125">
      <c r="A125" s="171">
        <v>2000.0</v>
      </c>
      <c r="B125" s="61">
        <f t="shared" ref="B125:K125" si="7">B106</f>
        <v>0</v>
      </c>
      <c r="C125" s="61">
        <f t="shared" si="7"/>
        <v>0</v>
      </c>
      <c r="D125" s="61">
        <f t="shared" si="7"/>
        <v>0</v>
      </c>
      <c r="E125" s="61">
        <f t="shared" si="7"/>
        <v>0</v>
      </c>
      <c r="F125" s="61">
        <f t="shared" si="7"/>
        <v>0</v>
      </c>
      <c r="G125" s="61">
        <f t="shared" si="7"/>
        <v>0</v>
      </c>
      <c r="H125" s="61">
        <f t="shared" si="7"/>
        <v>0</v>
      </c>
      <c r="I125" s="61">
        <f t="shared" si="7"/>
        <v>0</v>
      </c>
      <c r="J125" s="61">
        <f t="shared" si="7"/>
        <v>0</v>
      </c>
      <c r="K125" s="61">
        <f t="shared" si="7"/>
        <v>0</v>
      </c>
    </row>
    <row r="126">
      <c r="A126" s="172">
        <f t="shared" ref="A126:A138" si="9">A125+1</f>
        <v>2001</v>
      </c>
      <c r="B126" s="61">
        <f t="shared" ref="B126:K126" si="8">B125+B107</f>
        <v>0</v>
      </c>
      <c r="C126" s="61">
        <f t="shared" si="8"/>
        <v>0</v>
      </c>
      <c r="D126" s="61">
        <f t="shared" si="8"/>
        <v>0</v>
      </c>
      <c r="E126" s="61">
        <f t="shared" si="8"/>
        <v>0</v>
      </c>
      <c r="F126" s="61">
        <f t="shared" si="8"/>
        <v>1</v>
      </c>
      <c r="G126" s="61">
        <f t="shared" si="8"/>
        <v>0</v>
      </c>
      <c r="H126" s="61">
        <f t="shared" si="8"/>
        <v>0</v>
      </c>
      <c r="I126" s="61">
        <f t="shared" si="8"/>
        <v>0</v>
      </c>
      <c r="J126" s="61">
        <f t="shared" si="8"/>
        <v>0</v>
      </c>
      <c r="K126" s="61">
        <f t="shared" si="8"/>
        <v>0</v>
      </c>
    </row>
    <row r="127">
      <c r="A127" s="172">
        <f t="shared" si="9"/>
        <v>2002</v>
      </c>
      <c r="B127" s="61">
        <f t="shared" ref="B127:K127" si="10">B126+B108</f>
        <v>0</v>
      </c>
      <c r="C127" s="61">
        <f t="shared" si="10"/>
        <v>1</v>
      </c>
      <c r="D127" s="61">
        <f t="shared" si="10"/>
        <v>0</v>
      </c>
      <c r="E127" s="61">
        <f t="shared" si="10"/>
        <v>0</v>
      </c>
      <c r="F127" s="61">
        <f t="shared" si="10"/>
        <v>1</v>
      </c>
      <c r="G127" s="61">
        <f t="shared" si="10"/>
        <v>0</v>
      </c>
      <c r="H127" s="61">
        <f t="shared" si="10"/>
        <v>0</v>
      </c>
      <c r="I127" s="61">
        <f t="shared" si="10"/>
        <v>0</v>
      </c>
      <c r="J127" s="61">
        <f t="shared" si="10"/>
        <v>0</v>
      </c>
      <c r="K127" s="61">
        <f t="shared" si="10"/>
        <v>0</v>
      </c>
    </row>
    <row r="128">
      <c r="A128" s="172">
        <f t="shared" si="9"/>
        <v>2003</v>
      </c>
      <c r="B128" s="61">
        <f t="shared" ref="B128:K128" si="11">B127+B109</f>
        <v>0</v>
      </c>
      <c r="C128" s="61">
        <f t="shared" si="11"/>
        <v>1</v>
      </c>
      <c r="D128" s="61">
        <f t="shared" si="11"/>
        <v>0</v>
      </c>
      <c r="E128" s="61">
        <f t="shared" si="11"/>
        <v>0</v>
      </c>
      <c r="F128" s="61">
        <f t="shared" si="11"/>
        <v>1</v>
      </c>
      <c r="G128" s="61">
        <f t="shared" si="11"/>
        <v>0</v>
      </c>
      <c r="H128" s="61">
        <f t="shared" si="11"/>
        <v>0</v>
      </c>
      <c r="I128" s="61">
        <f t="shared" si="11"/>
        <v>0</v>
      </c>
      <c r="J128" s="61">
        <f t="shared" si="11"/>
        <v>0</v>
      </c>
      <c r="K128" s="61">
        <f t="shared" si="11"/>
        <v>0</v>
      </c>
    </row>
    <row r="129">
      <c r="A129" s="172">
        <f t="shared" si="9"/>
        <v>2004</v>
      </c>
      <c r="B129" s="61">
        <f t="shared" ref="B129:K129" si="12">B128+B110</f>
        <v>0</v>
      </c>
      <c r="C129" s="61">
        <f t="shared" si="12"/>
        <v>1</v>
      </c>
      <c r="D129" s="61">
        <f t="shared" si="12"/>
        <v>0</v>
      </c>
      <c r="E129" s="61">
        <f t="shared" si="12"/>
        <v>0</v>
      </c>
      <c r="F129" s="61">
        <f t="shared" si="12"/>
        <v>1</v>
      </c>
      <c r="G129" s="61">
        <f t="shared" si="12"/>
        <v>0</v>
      </c>
      <c r="H129" s="61">
        <f t="shared" si="12"/>
        <v>0</v>
      </c>
      <c r="I129" s="61">
        <f t="shared" si="12"/>
        <v>0</v>
      </c>
      <c r="J129" s="61">
        <f t="shared" si="12"/>
        <v>0</v>
      </c>
      <c r="K129" s="61">
        <f t="shared" si="12"/>
        <v>0</v>
      </c>
    </row>
    <row r="130">
      <c r="A130" s="172">
        <f t="shared" si="9"/>
        <v>2005</v>
      </c>
      <c r="B130" s="61">
        <f t="shared" ref="B130:K130" si="13">B129+B111</f>
        <v>1</v>
      </c>
      <c r="C130" s="61">
        <f t="shared" si="13"/>
        <v>1</v>
      </c>
      <c r="D130" s="61">
        <f t="shared" si="13"/>
        <v>0</v>
      </c>
      <c r="E130" s="61">
        <f t="shared" si="13"/>
        <v>0</v>
      </c>
      <c r="F130" s="61">
        <f t="shared" si="13"/>
        <v>4</v>
      </c>
      <c r="G130" s="61">
        <f t="shared" si="13"/>
        <v>0</v>
      </c>
      <c r="H130" s="61">
        <f t="shared" si="13"/>
        <v>0</v>
      </c>
      <c r="I130" s="61">
        <f t="shared" si="13"/>
        <v>1</v>
      </c>
      <c r="J130" s="61">
        <f t="shared" si="13"/>
        <v>0</v>
      </c>
      <c r="K130" s="61">
        <f t="shared" si="13"/>
        <v>0</v>
      </c>
    </row>
    <row r="131">
      <c r="A131" s="172">
        <f t="shared" si="9"/>
        <v>2006</v>
      </c>
      <c r="B131" s="61">
        <f t="shared" ref="B131:K131" si="14">B130+B112</f>
        <v>2</v>
      </c>
      <c r="C131" s="61">
        <f t="shared" si="14"/>
        <v>3</v>
      </c>
      <c r="D131" s="61">
        <f t="shared" si="14"/>
        <v>0</v>
      </c>
      <c r="E131" s="61">
        <f t="shared" si="14"/>
        <v>0</v>
      </c>
      <c r="F131" s="61">
        <f t="shared" si="14"/>
        <v>6</v>
      </c>
      <c r="G131" s="61">
        <f t="shared" si="14"/>
        <v>0</v>
      </c>
      <c r="H131" s="61">
        <f t="shared" si="14"/>
        <v>0</v>
      </c>
      <c r="I131" s="61">
        <f t="shared" si="14"/>
        <v>1</v>
      </c>
      <c r="J131" s="61">
        <f t="shared" si="14"/>
        <v>0</v>
      </c>
      <c r="K131" s="61">
        <f t="shared" si="14"/>
        <v>1</v>
      </c>
    </row>
    <row r="132">
      <c r="A132" s="172">
        <f t="shared" si="9"/>
        <v>2007</v>
      </c>
      <c r="B132" s="61">
        <f t="shared" ref="B132:K132" si="15">B131+B113</f>
        <v>3</v>
      </c>
      <c r="C132" s="61">
        <f t="shared" si="15"/>
        <v>3</v>
      </c>
      <c r="D132" s="61">
        <f t="shared" si="15"/>
        <v>0</v>
      </c>
      <c r="E132" s="61">
        <f t="shared" si="15"/>
        <v>0</v>
      </c>
      <c r="F132" s="61">
        <f t="shared" si="15"/>
        <v>6</v>
      </c>
      <c r="G132" s="61">
        <f t="shared" si="15"/>
        <v>0</v>
      </c>
      <c r="H132" s="61">
        <f t="shared" si="15"/>
        <v>0</v>
      </c>
      <c r="I132" s="61">
        <f t="shared" si="15"/>
        <v>2</v>
      </c>
      <c r="J132" s="61">
        <f t="shared" si="15"/>
        <v>1</v>
      </c>
      <c r="K132" s="61">
        <f t="shared" si="15"/>
        <v>1</v>
      </c>
    </row>
    <row r="133">
      <c r="A133" s="172">
        <f t="shared" si="9"/>
        <v>2008</v>
      </c>
      <c r="B133" s="61">
        <f t="shared" ref="B133:K133" si="16">B132+B114</f>
        <v>4</v>
      </c>
      <c r="C133" s="61">
        <f t="shared" si="16"/>
        <v>3</v>
      </c>
      <c r="D133" s="61">
        <f t="shared" si="16"/>
        <v>1</v>
      </c>
      <c r="E133" s="61">
        <f t="shared" si="16"/>
        <v>2</v>
      </c>
      <c r="F133" s="61">
        <f t="shared" si="16"/>
        <v>8</v>
      </c>
      <c r="G133" s="61">
        <f t="shared" si="16"/>
        <v>0</v>
      </c>
      <c r="H133" s="61">
        <f t="shared" si="16"/>
        <v>1</v>
      </c>
      <c r="I133" s="61">
        <f t="shared" si="16"/>
        <v>3</v>
      </c>
      <c r="J133" s="61">
        <f t="shared" si="16"/>
        <v>2</v>
      </c>
      <c r="K133" s="61">
        <f t="shared" si="16"/>
        <v>2</v>
      </c>
    </row>
    <row r="134">
      <c r="A134" s="172">
        <f t="shared" si="9"/>
        <v>2009</v>
      </c>
      <c r="B134" s="61">
        <f t="shared" ref="B134:K134" si="17">B133+B115</f>
        <v>4</v>
      </c>
      <c r="C134" s="61">
        <f t="shared" si="17"/>
        <v>3</v>
      </c>
      <c r="D134" s="61">
        <f t="shared" si="17"/>
        <v>1</v>
      </c>
      <c r="E134" s="61">
        <f t="shared" si="17"/>
        <v>3</v>
      </c>
      <c r="F134" s="61">
        <f t="shared" si="17"/>
        <v>9</v>
      </c>
      <c r="G134" s="61">
        <f t="shared" si="17"/>
        <v>0</v>
      </c>
      <c r="H134" s="61">
        <f t="shared" si="17"/>
        <v>1</v>
      </c>
      <c r="I134" s="61">
        <f t="shared" si="17"/>
        <v>4</v>
      </c>
      <c r="J134" s="61">
        <f t="shared" si="17"/>
        <v>4</v>
      </c>
      <c r="K134" s="61">
        <f t="shared" si="17"/>
        <v>2</v>
      </c>
    </row>
    <row r="135">
      <c r="A135" s="172">
        <f t="shared" si="9"/>
        <v>2010</v>
      </c>
      <c r="B135" s="61">
        <f t="shared" ref="B135:K135" si="18">B134+B116</f>
        <v>4</v>
      </c>
      <c r="C135" s="61">
        <f t="shared" si="18"/>
        <v>4</v>
      </c>
      <c r="D135" s="61">
        <f t="shared" si="18"/>
        <v>2</v>
      </c>
      <c r="E135" s="61">
        <f t="shared" si="18"/>
        <v>4</v>
      </c>
      <c r="F135" s="61">
        <f t="shared" si="18"/>
        <v>11</v>
      </c>
      <c r="G135" s="61">
        <f t="shared" si="18"/>
        <v>1</v>
      </c>
      <c r="H135" s="61">
        <f t="shared" si="18"/>
        <v>2</v>
      </c>
      <c r="I135" s="61">
        <f t="shared" si="18"/>
        <v>4</v>
      </c>
      <c r="J135" s="61">
        <f t="shared" si="18"/>
        <v>7</v>
      </c>
      <c r="K135" s="61">
        <f t="shared" si="18"/>
        <v>4</v>
      </c>
    </row>
    <row r="136">
      <c r="A136" s="172">
        <f t="shared" si="9"/>
        <v>2011</v>
      </c>
      <c r="B136" s="61">
        <f t="shared" ref="B136:K136" si="19">B135+B117</f>
        <v>6</v>
      </c>
      <c r="C136" s="61">
        <f t="shared" si="19"/>
        <v>5</v>
      </c>
      <c r="D136" s="61">
        <f t="shared" si="19"/>
        <v>2</v>
      </c>
      <c r="E136" s="61">
        <f t="shared" si="19"/>
        <v>5</v>
      </c>
      <c r="F136" s="61">
        <f t="shared" si="19"/>
        <v>13</v>
      </c>
      <c r="G136" s="61">
        <f t="shared" si="19"/>
        <v>2</v>
      </c>
      <c r="H136" s="61">
        <f t="shared" si="19"/>
        <v>3</v>
      </c>
      <c r="I136" s="61">
        <f t="shared" si="19"/>
        <v>4</v>
      </c>
      <c r="J136" s="61">
        <f t="shared" si="19"/>
        <v>8</v>
      </c>
      <c r="K136" s="61">
        <f t="shared" si="19"/>
        <v>4</v>
      </c>
    </row>
    <row r="137">
      <c r="A137" s="172">
        <f t="shared" si="9"/>
        <v>2012</v>
      </c>
      <c r="B137" s="61">
        <f t="shared" ref="B137:K137" si="20">B136+B118</f>
        <v>6</v>
      </c>
      <c r="C137" s="61">
        <f t="shared" si="20"/>
        <v>5</v>
      </c>
      <c r="D137" s="61">
        <f t="shared" si="20"/>
        <v>3</v>
      </c>
      <c r="E137" s="61">
        <f t="shared" si="20"/>
        <v>6</v>
      </c>
      <c r="F137" s="61">
        <f t="shared" si="20"/>
        <v>14</v>
      </c>
      <c r="G137" s="61">
        <f t="shared" si="20"/>
        <v>3</v>
      </c>
      <c r="H137" s="61">
        <f t="shared" si="20"/>
        <v>5</v>
      </c>
      <c r="I137" s="61">
        <f t="shared" si="20"/>
        <v>4</v>
      </c>
      <c r="J137" s="61">
        <f t="shared" si="20"/>
        <v>9</v>
      </c>
      <c r="K137" s="61">
        <f t="shared" si="20"/>
        <v>4</v>
      </c>
    </row>
    <row r="138">
      <c r="A138" s="172">
        <f t="shared" si="9"/>
        <v>2013</v>
      </c>
      <c r="B138" s="61">
        <f t="shared" ref="B138:K138" si="21">B137+B119</f>
        <v>7</v>
      </c>
      <c r="C138" s="61">
        <f t="shared" si="21"/>
        <v>5</v>
      </c>
      <c r="D138" s="61">
        <f t="shared" si="21"/>
        <v>3</v>
      </c>
      <c r="E138" s="61">
        <f t="shared" si="21"/>
        <v>6</v>
      </c>
      <c r="F138" s="61">
        <f t="shared" si="21"/>
        <v>16</v>
      </c>
      <c r="G138" s="61">
        <f t="shared" si="21"/>
        <v>3</v>
      </c>
      <c r="H138" s="61">
        <f t="shared" si="21"/>
        <v>5</v>
      </c>
      <c r="I138" s="61">
        <f t="shared" si="21"/>
        <v>4</v>
      </c>
      <c r="J138" s="61">
        <f t="shared" si="21"/>
        <v>9</v>
      </c>
      <c r="K138" s="61">
        <f t="shared" si="21"/>
        <v>4</v>
      </c>
    </row>
    <row r="160">
      <c r="A160" s="187"/>
      <c r="B160" s="187"/>
      <c r="C160" s="187"/>
      <c r="D160" s="187"/>
    </row>
    <row r="161">
      <c r="A161" s="197" t="s">
        <v>1272</v>
      </c>
      <c r="B161" s="188"/>
      <c r="C161" s="188"/>
      <c r="D161" s="188"/>
    </row>
    <row r="188">
      <c r="A188" s="187"/>
      <c r="B188" s="187"/>
      <c r="C188" s="187"/>
      <c r="D188" s="187"/>
    </row>
    <row r="189">
      <c r="A189" s="197" t="s">
        <v>1273</v>
      </c>
      <c r="B189" s="188"/>
      <c r="C189" s="188"/>
      <c r="D189" s="188"/>
    </row>
    <row r="218">
      <c r="A218" s="198" t="s">
        <v>1274</v>
      </c>
    </row>
    <row r="219">
      <c r="B219" s="80" t="s">
        <v>1258</v>
      </c>
      <c r="C219" s="80" t="s">
        <v>1275</v>
      </c>
    </row>
    <row r="220">
      <c r="A220" s="182" t="s">
        <v>1276</v>
      </c>
      <c r="B220" s="183">
        <f>countif('SM Repository'!AW:AW, "x")</f>
        <v>27</v>
      </c>
      <c r="C220" s="80">
        <v>26.0</v>
      </c>
    </row>
    <row r="221">
      <c r="A221" s="182" t="s">
        <v>1277</v>
      </c>
      <c r="B221" s="183">
        <f>countif('SM Repository'!AX:AX, "x")</f>
        <v>41</v>
      </c>
      <c r="C221" s="80">
        <v>4.0</v>
      </c>
    </row>
    <row r="222">
      <c r="A222" s="182" t="s">
        <v>1278</v>
      </c>
      <c r="B222" s="183">
        <f>countif('SM Repository'!AY:AY, "x")</f>
        <v>10</v>
      </c>
      <c r="C222" s="80">
        <v>5.0</v>
      </c>
    </row>
    <row r="223">
      <c r="A223" s="182" t="s">
        <v>1279</v>
      </c>
      <c r="B223" s="183">
        <f>countif('SM Repository'!AZ:AZ, "x")</f>
        <v>1</v>
      </c>
      <c r="C223" s="80">
        <v>4.0</v>
      </c>
    </row>
    <row r="224">
      <c r="A224" s="182" t="s">
        <v>1280</v>
      </c>
      <c r="B224" s="183">
        <f>countif('SM Repository'!BA:BA, "x")</f>
        <v>0</v>
      </c>
      <c r="C224" s="80">
        <v>2.0</v>
      </c>
    </row>
    <row r="225">
      <c r="A225" s="182" t="s">
        <v>101</v>
      </c>
      <c r="B225" s="183">
        <f>countif('SM Repository'!BB:BB, "x")</f>
        <v>0</v>
      </c>
      <c r="C225" s="80">
        <v>4.0</v>
      </c>
    </row>
    <row r="226">
      <c r="A226" s="178"/>
      <c r="B226" s="178"/>
    </row>
    <row r="227">
      <c r="A227" s="193" t="s">
        <v>1262</v>
      </c>
      <c r="B227" s="194">
        <f>SUM(B220:B226)</f>
        <v>79</v>
      </c>
    </row>
    <row r="245">
      <c r="B245" s="182" t="s">
        <v>1276</v>
      </c>
      <c r="C245" s="182" t="s">
        <v>1281</v>
      </c>
      <c r="D245" s="182" t="s">
        <v>1282</v>
      </c>
      <c r="E245" s="182" t="s">
        <v>99</v>
      </c>
      <c r="F245" s="182" t="s">
        <v>100</v>
      </c>
      <c r="G245" s="182" t="s">
        <v>101</v>
      </c>
      <c r="H245" s="182" t="s">
        <v>85</v>
      </c>
    </row>
    <row r="246">
      <c r="A246" s="171">
        <v>2000.0</v>
      </c>
      <c r="B246" s="61">
        <f>IFERROR(__xludf.DUMMYFUNCTION("COUNTIF(FILTER('SLR Repository'!BO:BO, 'SLR Repository'!H:H = $A246, 'SLR Repository'!BO:BO &lt;&gt; """"), ""x"")"),1.0)</f>
        <v>1</v>
      </c>
      <c r="C246" s="61">
        <f>IFERROR(__xludf.DUMMYFUNCTION("COUNTIF(FILTER('SLR Repository'!BP:BP, 'SLR Repository'!H:H = $A246, 'SLR Repository'!BP:BP &lt;&gt; """"), ""x"")"),0.0)</f>
        <v>0</v>
      </c>
      <c r="D246" s="61">
        <f>IFERROR(__xludf.DUMMYFUNCTION("COUNTIF(FILTER('SLR Repository'!BQ:BQ, 'SLR Repository'!H:H = $A246, 'SLR Repository'!BQ:BQ &lt;&gt; """"), ""x"")"),0.0)</f>
        <v>0</v>
      </c>
      <c r="E246" s="61">
        <f>IFERROR(__xludf.DUMMYFUNCTION("COUNTIF(FILTER('SLR Repository'!BR:BR, 'SLR Repository'!H:H = $A246, 'SLR Repository'!BR:BR &lt;&gt; """"), ""x"")"),0.0)</f>
        <v>0</v>
      </c>
      <c r="F246" s="61">
        <f>IFERROR(__xludf.DUMMYFUNCTION("COUNTIF(FILTER('SLR Repository'!BS:BS, 'SLR Repository'!L:L = $A246, 'SLR Repository'!BS:BS &lt;&gt; """"), ""x"")"),0.0)</f>
        <v>0</v>
      </c>
      <c r="G246" s="61">
        <f>IFERROR(__xludf.DUMMYFUNCTION("COUNTIF(FILTER('SLR Repository'!BT:BT, 'SLR Repository'!M:M = $A246, 'SLR Repository'!BT:BT &lt;&gt; """"), ""x"")"),0.0)</f>
        <v>0</v>
      </c>
      <c r="H246" s="61">
        <f>IFERROR(__xludf.DUMMYFUNCTION("COUNTIF(FILTER('SLR Repository'!BU:BU, 'SLR Repository'!N:N = $A246, 'SLR Repository'!BU:BU &lt;&gt; """"), ""x"")"),0.0)</f>
        <v>0</v>
      </c>
    </row>
    <row r="247">
      <c r="A247" s="172">
        <f t="shared" ref="A247:A259" si="22">A246+1</f>
        <v>2001</v>
      </c>
      <c r="B247" s="61">
        <f>IFERROR(__xludf.DUMMYFUNCTION("COUNTIF(FILTER('SM Repository'!AW:AW, 'SM Repository'!AF:AF = $A247, 'SM Repository'!AW:AW &lt;&gt; """"), ""x"")"),0.0)</f>
        <v>0</v>
      </c>
      <c r="C247" s="61">
        <f>IFERROR(__xludf.DUMMYFUNCTION("COUNTIF(FILTER('SM Repository'!AX:AX, 'SM Repository'!AF:AF = $A247, 'SM Repository'!AX:AX &lt;&gt; """"), ""x"")"),2.0)</f>
        <v>2</v>
      </c>
      <c r="D247" s="61">
        <f>IFERROR(__xludf.DUMMYFUNCTION("COUNTIF(FILTER('SM Repository'!AY:AY, 'SM Repository'!AF:AF = $A247, 'SM Repository'!AY:AY &lt;&gt; """"), ""x"")"),0.0)</f>
        <v>0</v>
      </c>
      <c r="E247" s="61">
        <f>IFERROR(__xludf.DUMMYFUNCTION("COUNTIF(FILTER('SM Repository'!AZ:AZ, 'SM Repository'!AF:AF = $A247, 'SM Repository'!AZ:AZ &lt;&gt; """"), ""x"")"),0.0)</f>
        <v>0</v>
      </c>
      <c r="F247" s="61">
        <f>IFERROR(__xludf.DUMMYFUNCTION("COUNTIF(FILTER('SM Repository'!BA:BA, 'SM Repository'!AF:AF = $A247, 'SM Repository'!BA:BA &lt;&gt; """"), ""x"")"),0.0)</f>
        <v>0</v>
      </c>
      <c r="G247" s="61">
        <f>IFERROR(__xludf.DUMMYFUNCTION("COUNTIF(FILTER('SM Repository'!BB:BB, 'SM Repository'!AF:AF = $A247, 'SM Repository'!BB:BB &lt;&gt; """"), ""x"")"),0.0)</f>
        <v>0</v>
      </c>
      <c r="H247" s="61">
        <f>IFERROR(__xludf.DUMMYFUNCTION("COUNTIF(FILTER('SM Repository'!BC:BC, 'SM Repository'!AF:AF = $A247, 'SM Repository'!BC:BC &lt;&gt; """"), ""x"")"),0.0)</f>
        <v>0</v>
      </c>
    </row>
    <row r="248">
      <c r="A248" s="172">
        <f t="shared" si="22"/>
        <v>2002</v>
      </c>
      <c r="B248" s="61">
        <f>IFERROR(__xludf.DUMMYFUNCTION("COUNTIF(FILTER('SM Repository'!AW:AW, 'SM Repository'!AF:AF = $A248, 'SM Repository'!AW:AW &lt;&gt; """"), ""x"")"),4.0)</f>
        <v>4</v>
      </c>
      <c r="C248" s="61">
        <f>IFERROR(__xludf.DUMMYFUNCTION("COUNTIF(FILTER('SM Repository'!AX:AX, 'SM Repository'!AF:AF = $A248, 'SM Repository'!AX:AX &lt;&gt; """"), ""x"")"),1.0)</f>
        <v>1</v>
      </c>
      <c r="D248" s="61">
        <f>IFERROR(__xludf.DUMMYFUNCTION("COUNTIF(FILTER('SM Repository'!AY:AY, 'SM Repository'!AF:AF = $A248, 'SM Repository'!AY:AY &lt;&gt; """"), ""x"")"),0.0)</f>
        <v>0</v>
      </c>
      <c r="E248" s="61">
        <f>IFERROR(__xludf.DUMMYFUNCTION("COUNTIF(FILTER('SM Repository'!AZ:AZ, 'SM Repository'!AF:AF = $A248, 'SM Repository'!AZ:AZ &lt;&gt; """"), ""x"")"),0.0)</f>
        <v>0</v>
      </c>
      <c r="F248" s="61">
        <f>IFERROR(__xludf.DUMMYFUNCTION("COUNTIF(FILTER('SM Repository'!BA:BA, 'SM Repository'!AF:AF = $A248, 'SM Repository'!BA:BA &lt;&gt; """"), ""x"")"),0.0)</f>
        <v>0</v>
      </c>
      <c r="G248" s="61">
        <f>IFERROR(__xludf.DUMMYFUNCTION("COUNTIF(FILTER('SM Repository'!BB:BB, 'SM Repository'!AF:AF = $A248, 'SM Repository'!BB:BB &lt;&gt; """"), ""x"")"),0.0)</f>
        <v>0</v>
      </c>
      <c r="H248" s="61">
        <f>IFERROR(__xludf.DUMMYFUNCTION("COUNTIF(FILTER('SM Repository'!BC:BC, 'SM Repository'!AF:AF = $A248, 'SM Repository'!BC:BC &lt;&gt; """"), ""x"")"),0.0)</f>
        <v>0</v>
      </c>
    </row>
    <row r="249">
      <c r="A249" s="172">
        <f t="shared" si="22"/>
        <v>2003</v>
      </c>
      <c r="B249" s="61">
        <f>IFERROR(__xludf.DUMMYFUNCTION("COUNTIF(FILTER('SM Repository'!AW:AW, 'SM Repository'!AF:AF = $A249, 'SM Repository'!AW:AW &lt;&gt; """"), ""x"")"),0.0)</f>
        <v>0</v>
      </c>
      <c r="C249" s="61">
        <f>IFERROR(__xludf.DUMMYFUNCTION("COUNTIF(FILTER('SM Repository'!AX:AX, 'SM Repository'!AF:AF = $A249, 'SM Repository'!AX:AX &lt;&gt; """"), ""x"")"),0.0)</f>
        <v>0</v>
      </c>
      <c r="D249" s="61">
        <f>IFERROR(__xludf.DUMMYFUNCTION("COUNTIF(FILTER('SM Repository'!AY:AY, 'SM Repository'!AF:AF = $A249, 'SM Repository'!AY:AY &lt;&gt; """"), ""x"")"),0.0)</f>
        <v>0</v>
      </c>
      <c r="E249" s="61">
        <f>IFERROR(__xludf.DUMMYFUNCTION("COUNTIF(FILTER('SM Repository'!AZ:AZ, 'SM Repository'!AF:AF = $A249, 'SM Repository'!AZ:AZ &lt;&gt; """"), ""x"")"),0.0)</f>
        <v>0</v>
      </c>
      <c r="F249" s="61">
        <f>IFERROR(__xludf.DUMMYFUNCTION("COUNTIF(FILTER('SM Repository'!BA:BA, 'SM Repository'!AF:AF = $A249, 'SM Repository'!BA:BA &lt;&gt; """"), ""x"")"),0.0)</f>
        <v>0</v>
      </c>
      <c r="G249" s="61">
        <f>IFERROR(__xludf.DUMMYFUNCTION("COUNTIF(FILTER('SM Repository'!BB:BB, 'SM Repository'!AF:AF = $A249, 'SM Repository'!BB:BB &lt;&gt; """"), ""x"")"),0.0)</f>
        <v>0</v>
      </c>
      <c r="H249" s="61">
        <f>IFERROR(__xludf.DUMMYFUNCTION("COUNTIF(FILTER('SM Repository'!BC:BC, 'SM Repository'!AF:AF = $A249, 'SM Repository'!BC:BC &lt;&gt; """"), ""x"")"),0.0)</f>
        <v>0</v>
      </c>
    </row>
    <row r="250">
      <c r="A250" s="172">
        <f t="shared" si="22"/>
        <v>2004</v>
      </c>
      <c r="B250" s="61">
        <f>IFERROR(__xludf.DUMMYFUNCTION("COUNTIF(FILTER('SM Repository'!AW:AW, 'SM Repository'!AF:AF = $A250, 'SM Repository'!AW:AW &lt;&gt; """"), ""x"")"),4.0)</f>
        <v>4</v>
      </c>
      <c r="C250" s="61">
        <f>IFERROR(__xludf.DUMMYFUNCTION("COUNTIF(FILTER('SM Repository'!AX:AX, 'SM Repository'!AF:AF = $A250, 'SM Repository'!AX:AX &lt;&gt; """"), ""x"")"),2.0)</f>
        <v>2</v>
      </c>
      <c r="D250" s="61">
        <f>IFERROR(__xludf.DUMMYFUNCTION("COUNTIF(FILTER('SM Repository'!AY:AY, 'SM Repository'!AF:AF = $A250, 'SM Repository'!AY:AY &lt;&gt; """"), ""x"")"),0.0)</f>
        <v>0</v>
      </c>
      <c r="E250" s="61">
        <f>IFERROR(__xludf.DUMMYFUNCTION("COUNTIF(FILTER('SM Repository'!AZ:AZ, 'SM Repository'!AF:AF = $A250, 'SM Repository'!AZ:AZ &lt;&gt; """"), ""x"")"),0.0)</f>
        <v>0</v>
      </c>
      <c r="F250" s="61">
        <f>IFERROR(__xludf.DUMMYFUNCTION("COUNTIF(FILTER('SM Repository'!BA:BA, 'SM Repository'!AF:AF = $A250, 'SM Repository'!BA:BA &lt;&gt; """"), ""x"")"),0.0)</f>
        <v>0</v>
      </c>
      <c r="G250" s="61">
        <f>IFERROR(__xludf.DUMMYFUNCTION("COUNTIF(FILTER('SM Repository'!BB:BB, 'SM Repository'!AF:AF = $A250, 'SM Repository'!BB:BB &lt;&gt; """"), ""x"")"),0.0)</f>
        <v>0</v>
      </c>
      <c r="H250" s="61">
        <f>IFERROR(__xludf.DUMMYFUNCTION("COUNTIF(FILTER('SM Repository'!BC:BC, 'SM Repository'!AF:AF = $A250, 'SM Repository'!BC:BC &lt;&gt; """"), ""x"")"),0.0)</f>
        <v>0</v>
      </c>
    </row>
    <row r="251">
      <c r="A251" s="172">
        <f t="shared" si="22"/>
        <v>2005</v>
      </c>
      <c r="B251" s="61">
        <f>IFERROR(__xludf.DUMMYFUNCTION("COUNTIF(FILTER('SM Repository'!AW:AW, 'SM Repository'!AF:AF = $A251, 'SM Repository'!AW:AW &lt;&gt; """"), ""x"")"),6.0)</f>
        <v>6</v>
      </c>
      <c r="C251" s="61">
        <f>IFERROR(__xludf.DUMMYFUNCTION("COUNTIF(FILTER('SM Repository'!AX:AX, 'SM Repository'!AF:AF = $A251, 'SM Repository'!AX:AX &lt;&gt; """"), ""x"")"),1.0)</f>
        <v>1</v>
      </c>
      <c r="D251" s="61">
        <f>IFERROR(__xludf.DUMMYFUNCTION("COUNTIF(FILTER('SM Repository'!AY:AY, 'SM Repository'!AF:AF = $A251, 'SM Repository'!AY:AY &lt;&gt; """"), ""x"")"),2.0)</f>
        <v>2</v>
      </c>
      <c r="E251" s="61">
        <f>IFERROR(__xludf.DUMMYFUNCTION("COUNTIF(FILTER('SM Repository'!AZ:AZ, 'SM Repository'!AF:AF = $A251, 'SM Repository'!AZ:AZ &lt;&gt; """"), ""x"")"),1.0)</f>
        <v>1</v>
      </c>
      <c r="F251" s="61">
        <f>IFERROR(__xludf.DUMMYFUNCTION("COUNTIF(FILTER('SM Repository'!BA:BA, 'SM Repository'!AF:AF = $A251, 'SM Repository'!BA:BA &lt;&gt; """"), ""x"")"),0.0)</f>
        <v>0</v>
      </c>
      <c r="G251" s="61">
        <f>IFERROR(__xludf.DUMMYFUNCTION("COUNTIF(FILTER('SM Repository'!BB:BB, 'SM Repository'!AF:AF = $A251, 'SM Repository'!BB:BB &lt;&gt; """"), ""x"")"),0.0)</f>
        <v>0</v>
      </c>
      <c r="H251" s="61">
        <f>IFERROR(__xludf.DUMMYFUNCTION("COUNTIF(FILTER('SM Repository'!BC:BC, 'SM Repository'!AF:AF = $A251, 'SM Repository'!BC:BC &lt;&gt; """"), ""x"")"),0.0)</f>
        <v>0</v>
      </c>
    </row>
    <row r="252">
      <c r="A252" s="172">
        <f t="shared" si="22"/>
        <v>2006</v>
      </c>
      <c r="B252" s="61">
        <f>IFERROR(__xludf.DUMMYFUNCTION("COUNTIF(FILTER('SM Repository'!AW:AW, 'SM Repository'!AF:AF = $A252, 'SM Repository'!AW:AW &lt;&gt; """"), ""x"")"),5.0)</f>
        <v>5</v>
      </c>
      <c r="C252" s="61">
        <f>IFERROR(__xludf.DUMMYFUNCTION("COUNTIF(FILTER('SM Repository'!AX:AX, 'SM Repository'!AF:AF = $A252, 'SM Repository'!AX:AX &lt;&gt; """"), ""x"")"),4.0)</f>
        <v>4</v>
      </c>
      <c r="D252" s="61">
        <f>IFERROR(__xludf.DUMMYFUNCTION("COUNTIF(FILTER('SM Repository'!AY:AY, 'SM Repository'!AF:AF = $A252, 'SM Repository'!AY:AY &lt;&gt; """"), ""x"")"),1.0)</f>
        <v>1</v>
      </c>
      <c r="E252" s="61">
        <f>IFERROR(__xludf.DUMMYFUNCTION("COUNTIF(FILTER('SM Repository'!AZ:AZ, 'SM Repository'!AF:AF = $A252, 'SM Repository'!AZ:AZ &lt;&gt; """"), ""x"")"),0.0)</f>
        <v>0</v>
      </c>
      <c r="F252" s="61">
        <f>IFERROR(__xludf.DUMMYFUNCTION("COUNTIF(FILTER('SM Repository'!BA:BA, 'SM Repository'!AF:AF = $A252, 'SM Repository'!BA:BA &lt;&gt; """"), ""x"")"),0.0)</f>
        <v>0</v>
      </c>
      <c r="G252" s="61">
        <f>IFERROR(__xludf.DUMMYFUNCTION("COUNTIF(FILTER('SM Repository'!BB:BB, 'SM Repository'!AF:AF = $A252, 'SM Repository'!BB:BB &lt;&gt; """"), ""x"")"),0.0)</f>
        <v>0</v>
      </c>
      <c r="H252" s="61">
        <f>IFERROR(__xludf.DUMMYFUNCTION("COUNTIF(FILTER('SM Repository'!BC:BC, 'SM Repository'!AF:AF = $A252, 'SM Repository'!BC:BC &lt;&gt; """"), ""x"")"),0.0)</f>
        <v>0</v>
      </c>
    </row>
    <row r="253">
      <c r="A253" s="172">
        <f t="shared" si="22"/>
        <v>2007</v>
      </c>
      <c r="B253" s="61">
        <f>IFERROR(__xludf.DUMMYFUNCTION("COUNTIF(FILTER('SM Repository'!AW:AW, 'SM Repository'!AF:AF = $A253, 'SM Repository'!AW:AW &lt;&gt; """"), ""x"")"),0.0)</f>
        <v>0</v>
      </c>
      <c r="C253" s="61">
        <f>IFERROR(__xludf.DUMMYFUNCTION("COUNTIF(FILTER('SM Repository'!AX:AX, 'SM Repository'!AF:AF = $A253, 'SM Repository'!AX:AX &lt;&gt; """"), ""x"")"),3.0)</f>
        <v>3</v>
      </c>
      <c r="D253" s="61">
        <f>IFERROR(__xludf.DUMMYFUNCTION("COUNTIF(FILTER('SM Repository'!AY:AY, 'SM Repository'!AF:AF = $A253, 'SM Repository'!AY:AY &lt;&gt; """"), ""x"")"),0.0)</f>
        <v>0</v>
      </c>
      <c r="E253" s="61">
        <f>IFERROR(__xludf.DUMMYFUNCTION("COUNTIF(FILTER('SM Repository'!AZ:AZ, 'SM Repository'!AF:AF = $A253, 'SM Repository'!AZ:AZ &lt;&gt; """"), ""x"")"),0.0)</f>
        <v>0</v>
      </c>
      <c r="F253" s="61">
        <f>IFERROR(__xludf.DUMMYFUNCTION("COUNTIF(FILTER('SM Repository'!BA:BA, 'SM Repository'!AF:AF = $A253, 'SM Repository'!BA:BA &lt;&gt; """"), ""x"")"),0.0)</f>
        <v>0</v>
      </c>
      <c r="G253" s="61">
        <f>IFERROR(__xludf.DUMMYFUNCTION("COUNTIF(FILTER('SM Repository'!BB:BB, 'SM Repository'!AF:AF = $A253, 'SM Repository'!BB:BB &lt;&gt; """"), ""x"")"),0.0)</f>
        <v>0</v>
      </c>
      <c r="H253" s="61">
        <f>IFERROR(__xludf.DUMMYFUNCTION("COUNTIF(FILTER('SM Repository'!BC:BC, 'SM Repository'!AF:AF = $A253, 'SM Repository'!BC:BC &lt;&gt; """"), ""x"")"),0.0)</f>
        <v>0</v>
      </c>
    </row>
    <row r="254">
      <c r="A254" s="172">
        <f t="shared" si="22"/>
        <v>2008</v>
      </c>
      <c r="B254" s="61">
        <f>IFERROR(__xludf.DUMMYFUNCTION("COUNTIF(FILTER('SM Repository'!AW:AW, 'SM Repository'!AF:AF = $A254, 'SM Repository'!AW:AW &lt;&gt; """"), ""x"")"),3.0)</f>
        <v>3</v>
      </c>
      <c r="C254" s="61">
        <f>IFERROR(__xludf.DUMMYFUNCTION("COUNTIF(FILTER('SM Repository'!AX:AX, 'SM Repository'!AF:AF = $A254, 'SM Repository'!AX:AX &lt;&gt; """"), ""x"")"),8.0)</f>
        <v>8</v>
      </c>
      <c r="D254" s="61">
        <f>IFERROR(__xludf.DUMMYFUNCTION("COUNTIF(FILTER('SM Repository'!AY:AY, 'SM Repository'!AF:AF = $A254, 'SM Repository'!AY:AY &lt;&gt; """"), ""x"")"),2.0)</f>
        <v>2</v>
      </c>
      <c r="E254" s="61">
        <f>IFERROR(__xludf.DUMMYFUNCTION("COUNTIF(FILTER('SM Repository'!AZ:AZ, 'SM Repository'!AF:AF = $A254, 'SM Repository'!AZ:AZ &lt;&gt; """"), ""x"")"),0.0)</f>
        <v>0</v>
      </c>
      <c r="F254" s="61">
        <f>IFERROR(__xludf.DUMMYFUNCTION("COUNTIF(FILTER('SM Repository'!BA:BA, 'SM Repository'!AF:AF = $A254, 'SM Repository'!BA:BA &lt;&gt; """"), ""x"")"),0.0)</f>
        <v>0</v>
      </c>
      <c r="G254" s="61">
        <f>IFERROR(__xludf.DUMMYFUNCTION("COUNTIF(FILTER('SM Repository'!BB:BB, 'SM Repository'!AF:AF = $A254, 'SM Repository'!BB:BB &lt;&gt; """"), ""x"")"),0.0)</f>
        <v>0</v>
      </c>
      <c r="H254" s="61">
        <f>IFERROR(__xludf.DUMMYFUNCTION("COUNTIF(FILTER('SM Repository'!BC:BC, 'SM Repository'!AF:AF = $A254, 'SM Repository'!BC:BC &lt;&gt; """"), ""x"")"),0.0)</f>
        <v>0</v>
      </c>
    </row>
    <row r="255">
      <c r="A255" s="172">
        <f t="shared" si="22"/>
        <v>2009</v>
      </c>
      <c r="B255" s="61">
        <f>IFERROR(__xludf.DUMMYFUNCTION("COUNTIF(FILTER('SM Repository'!AW:AW, 'SM Repository'!AF:AF = $A255, 'SM Repository'!AW:AW &lt;&gt; """"), ""x"")"),1.0)</f>
        <v>1</v>
      </c>
      <c r="C255" s="61">
        <f>IFERROR(__xludf.DUMMYFUNCTION("COUNTIF(FILTER('SM Repository'!AX:AX, 'SM Repository'!AF:AF = $A255, 'SM Repository'!AX:AX &lt;&gt; """"), ""x"")"),5.0)</f>
        <v>5</v>
      </c>
      <c r="D255" s="61">
        <f>IFERROR(__xludf.DUMMYFUNCTION("COUNTIF(FILTER('SM Repository'!AY:AY, 'SM Repository'!AF:AF = $A255, 'SM Repository'!AY:AY &lt;&gt; """"), ""x"")"),1.0)</f>
        <v>1</v>
      </c>
      <c r="E255" s="61">
        <f>IFERROR(__xludf.DUMMYFUNCTION("COUNTIF(FILTER('SM Repository'!AZ:AZ, 'SM Repository'!AF:AF = $A255, 'SM Repository'!AZ:AZ &lt;&gt; """"), ""x"")"),0.0)</f>
        <v>0</v>
      </c>
      <c r="F255" s="61">
        <f>IFERROR(__xludf.DUMMYFUNCTION("COUNTIF(FILTER('SM Repository'!BA:BA, 'SM Repository'!AF:AF = $A255, 'SM Repository'!BA:BA &lt;&gt; """"), ""x"")"),0.0)</f>
        <v>0</v>
      </c>
      <c r="G255" s="61">
        <f>IFERROR(__xludf.DUMMYFUNCTION("COUNTIF(FILTER('SM Repository'!BB:BB, 'SM Repository'!AF:AF = $A255, 'SM Repository'!BB:BB &lt;&gt; """"), ""x"")"),0.0)</f>
        <v>0</v>
      </c>
      <c r="H255" s="61">
        <f>IFERROR(__xludf.DUMMYFUNCTION("COUNTIF(FILTER('SM Repository'!BC:BC, 'SM Repository'!AF:AF = $A255, 'SM Repository'!BC:BC &lt;&gt; """"), ""x"")"),0.0)</f>
        <v>0</v>
      </c>
    </row>
    <row r="256">
      <c r="A256" s="172">
        <f t="shared" si="22"/>
        <v>2010</v>
      </c>
      <c r="B256" s="61">
        <f>IFERROR(__xludf.DUMMYFUNCTION("COUNTIF(FILTER('SM Repository'!AW:AW, 'SM Repository'!AF:AF = $A256, 'SM Repository'!AW:AW &lt;&gt; """"), ""x"")"),4.0)</f>
        <v>4</v>
      </c>
      <c r="C256" s="61">
        <f>IFERROR(__xludf.DUMMYFUNCTION("COUNTIF(FILTER('SM Repository'!AX:AX, 'SM Repository'!AF:AF = $A256, 'SM Repository'!AX:AX &lt;&gt; """"), ""x"")"),8.0)</f>
        <v>8</v>
      </c>
      <c r="D256" s="61">
        <f>IFERROR(__xludf.DUMMYFUNCTION("COUNTIF(FILTER('SM Repository'!AY:AY, 'SM Repository'!AF:AF = $A256, 'SM Repository'!AY:AY &lt;&gt; """"), ""x"")"),2.0)</f>
        <v>2</v>
      </c>
      <c r="E256" s="61">
        <f>IFERROR(__xludf.DUMMYFUNCTION("COUNTIF(FILTER('SM Repository'!AZ:AZ, 'SM Repository'!AF:AF = $A256, 'SM Repository'!AZ:AZ &lt;&gt; """"), ""x"")"),0.0)</f>
        <v>0</v>
      </c>
      <c r="F256" s="61">
        <f>IFERROR(__xludf.DUMMYFUNCTION("COUNTIF(FILTER('SM Repository'!BA:BA, 'SM Repository'!AF:AF = $A256, 'SM Repository'!BA:BA &lt;&gt; """"), ""x"")"),0.0)</f>
        <v>0</v>
      </c>
      <c r="G256" s="61">
        <f>IFERROR(__xludf.DUMMYFUNCTION("COUNTIF(FILTER('SM Repository'!BB:BB, 'SM Repository'!AF:AF = $A256, 'SM Repository'!BB:BB &lt;&gt; """"), ""x"")"),0.0)</f>
        <v>0</v>
      </c>
      <c r="H256" s="61">
        <f>IFERROR(__xludf.DUMMYFUNCTION("COUNTIF(FILTER('SM Repository'!BC:BC, 'SM Repository'!AF:AF = $A256, 'SM Repository'!BC:BC &lt;&gt; """"), ""x"")"),0.0)</f>
        <v>0</v>
      </c>
    </row>
    <row r="257">
      <c r="A257" s="172">
        <f t="shared" si="22"/>
        <v>2011</v>
      </c>
      <c r="B257" s="61">
        <f>IFERROR(__xludf.DUMMYFUNCTION("COUNTIF(FILTER('SM Repository'!AW:AW, 'SM Repository'!AF:AF = $A257, 'SM Repository'!AW:AW &lt;&gt; """"), ""x"")"),0.0)</f>
        <v>0</v>
      </c>
      <c r="C257" s="61">
        <f>IFERROR(__xludf.DUMMYFUNCTION("COUNTIF(FILTER('SM Repository'!AX:AX, 'SM Repository'!AF:AF = $A257, 'SM Repository'!AX:AX &lt;&gt; """"), ""x"")"),7.0)</f>
        <v>7</v>
      </c>
      <c r="D257" s="61">
        <f>IFERROR(__xludf.DUMMYFUNCTION("COUNTIF(FILTER('SM Repository'!AY:AY, 'SM Repository'!AF:AF = $A257, 'SM Repository'!AY:AY &lt;&gt; """"), ""x"")"),2.0)</f>
        <v>2</v>
      </c>
      <c r="E257" s="61">
        <f>IFERROR(__xludf.DUMMYFUNCTION("COUNTIF(FILTER('SM Repository'!AZ:AZ, 'SM Repository'!AF:AF = $A257, 'SM Repository'!AZ:AZ &lt;&gt; """"), ""x"")"),0.0)</f>
        <v>0</v>
      </c>
      <c r="F257" s="61">
        <f>IFERROR(__xludf.DUMMYFUNCTION("COUNTIF(FILTER('SM Repository'!BA:BA, 'SM Repository'!AF:AF = $A257, 'SM Repository'!BA:BA &lt;&gt; """"), ""x"")"),0.0)</f>
        <v>0</v>
      </c>
      <c r="G257" s="61">
        <f>IFERROR(__xludf.DUMMYFUNCTION("COUNTIF(FILTER('SM Repository'!BB:BB, 'SM Repository'!AF:AF = $A257, 'SM Repository'!BB:BB &lt;&gt; """"), ""x"")"),0.0)</f>
        <v>0</v>
      </c>
      <c r="H257" s="61">
        <f>IFERROR(__xludf.DUMMYFUNCTION("COUNTIF(FILTER('SM Repository'!BC:BC, 'SM Repository'!AF:AF = $A257, 'SM Repository'!BC:BC &lt;&gt; """"), ""x"")"),0.0)</f>
        <v>0</v>
      </c>
    </row>
    <row r="258">
      <c r="A258" s="172">
        <f t="shared" si="22"/>
        <v>2012</v>
      </c>
    </row>
    <row r="259">
      <c r="A259" s="172">
        <f t="shared" si="22"/>
        <v>2013</v>
      </c>
    </row>
    <row r="260">
      <c r="A260" s="193" t="s">
        <v>1262</v>
      </c>
    </row>
    <row r="284">
      <c r="A284" s="40" t="s">
        <v>1283</v>
      </c>
    </row>
    <row r="285">
      <c r="B285" s="193" t="s">
        <v>1269</v>
      </c>
      <c r="C285" s="193" t="s">
        <v>1270</v>
      </c>
      <c r="D285" s="193" t="s">
        <v>1271</v>
      </c>
      <c r="E285" s="193" t="s">
        <v>90</v>
      </c>
      <c r="F285" s="193" t="s">
        <v>91</v>
      </c>
      <c r="G285" s="195" t="s">
        <v>85</v>
      </c>
    </row>
    <row r="286">
      <c r="A286" s="80" t="s">
        <v>1276</v>
      </c>
      <c r="B286" s="183">
        <f>IFERROR(__xludf.DUMMYFUNCTION("COUNTIF(FILTER('SM Repository'!$AW$3:$AW$138, 'SM Repository'!AP$3:AP$138 = ""X"", 'SM Repository'!$AW$3:$AW$138 = ""X""), ""X"")"),23.0)</f>
        <v>23</v>
      </c>
      <c r="C286" s="183">
        <f>IFERROR(__xludf.DUMMYFUNCTION("COUNTIF(FILTER('SM Repository'!$AW$3:$AW$138, 'SM Repository'!AQ$3:AQ$138 = ""X"", 'SM Repository'!$AW$3:$AW$138 = ""X""), ""X"")"),12.0)</f>
        <v>12</v>
      </c>
      <c r="D286" s="183">
        <f>IFERROR(__xludf.DUMMYFUNCTION("COUNTIF(FILTER('SM Repository'!$AW$3:$AW$138, 'SM Repository'!AR$3:AR$138 = ""X"", 'SM Repository'!$AW$3:$AW$138 = ""X""), ""X"")"),14.0)</f>
        <v>14</v>
      </c>
      <c r="E286" s="183">
        <f>IFERROR(__xludf.DUMMYFUNCTION("COUNTIF(FILTER('SM Repository'!$AW$3:$AW$138, 'SM Repository'!AS$3:AS$138 = ""X"", 'SM Repository'!$AW$3:$AW$138 = ""X""), ""X"")"),2.0)</f>
        <v>2</v>
      </c>
      <c r="F286" s="183">
        <f>IFERROR(__xludf.DUMMYFUNCTION("COUNTIF(FILTER('SM Repository'!$AW$3:$AW$138, 'SM Repository'!AT$3:AT$138 = ""X"", 'SM Repository'!$AW$3:$AW$138 = ""X""), ""X"")"),3.0)</f>
        <v>3</v>
      </c>
      <c r="G286" s="183">
        <f>IFERROR(__xludf.DUMMYFUNCTION("COUNTIF(FILTER('SM Repository'!$AW$3:$AW$138, 'SM Repository'!AU$3:AU$138 = ""X"", 'SM Repository'!$AW$3:$AW$138 = ""X""), ""X"")"),1.0)</f>
        <v>1</v>
      </c>
      <c r="H286" s="61">
        <f t="shared" ref="H286:H291" si="23">sum(B286:G286)</f>
        <v>55</v>
      </c>
    </row>
    <row r="287">
      <c r="A287" s="80" t="s">
        <v>1281</v>
      </c>
      <c r="B287" s="183">
        <f>IFERROR(__xludf.DUMMYFUNCTION("COUNTIF(FILTER('SM Repository'!$AX$3:$AX$138, 'SM Repository'!AP$3:AP$138 = ""X"", 'SM Repository'!$AX$3:$AX$138 = ""X""), ""X"")"),28.0)</f>
        <v>28</v>
      </c>
      <c r="C287" s="183">
        <f>IFERROR(__xludf.DUMMYFUNCTION("COUNTIF(FILTER('SM Repository'!$AX$3:$AX$138, 'SM Repository'!AQ$3:AQ$138 = ""X"", 'SM Repository'!$AX$3:$AX$138 = ""X""), ""X"")"),26.0)</f>
        <v>26</v>
      </c>
      <c r="D287" s="183">
        <f>IFERROR(__xludf.DUMMYFUNCTION("COUNTIF(FILTER('SM Repository'!$AX$3:$AX$138, 'SM Repository'!AR$3:AR$138 = ""X"", 'SM Repository'!$AX$3:$AX$138 = ""X""), ""X"")"),13.0)</f>
        <v>13</v>
      </c>
      <c r="E287" s="183">
        <f>IFERROR(__xludf.DUMMYFUNCTION("COUNTIF(FILTER('SM Repository'!$AX$3:$AX$138, 'SM Repository'!AS$3:AS$138 = ""X"", 'SM Repository'!$AX$3:$AX$138 = ""X""), ""X"")"),6.0)</f>
        <v>6</v>
      </c>
      <c r="F287" s="183">
        <f>IFERROR(__xludf.DUMMYFUNCTION("COUNTIF(FILTER('SM Repository'!$AX$3:$AX$138, 'SM Repository'!AT$3:AT$138 = ""X"", 'SM Repository'!$AX$3:$AX$138 = ""X""), ""X"")"),3.0)</f>
        <v>3</v>
      </c>
      <c r="G287" s="183">
        <f>IFERROR(__xludf.DUMMYFUNCTION("COUNTIF(FILTER('SM Repository'!$AX$3:$AX$138, 'SM Repository'!AU$3:AU$138 = ""X"", 'SM Repository'!$AX$3:$AX$138 = ""X""), ""X"")"),5.0)</f>
        <v>5</v>
      </c>
      <c r="H287" s="61">
        <f t="shared" si="23"/>
        <v>81</v>
      </c>
    </row>
    <row r="288">
      <c r="A288" s="80" t="s">
        <v>1282</v>
      </c>
      <c r="B288" s="183">
        <f>IFERROR(__xludf.DUMMYFUNCTION("COUNTIF(FILTER('SM Repository'!$AY$3:$AY$138, 'SM Repository'!AP$3:AP$138 = ""X"", 'SM Repository'!$AY$3:$AY$138 = ""X""), ""X"")"),5.0)</f>
        <v>5</v>
      </c>
      <c r="C288" s="183">
        <f>IFERROR(__xludf.DUMMYFUNCTION("COUNTIF(FILTER('SM Repository'!$AY$3:$AY$138, 'SM Repository'!AQ$3:AQ$138 = ""X"", 'SM Repository'!$AY$3:$AY$138 = ""X""), ""X"")"),3.0)</f>
        <v>3</v>
      </c>
      <c r="D288" s="183">
        <f>IFERROR(__xludf.DUMMYFUNCTION("COUNTIF(FILTER('SM Repository'!$AY$3:$AY$138, 'SM Repository'!AR$3:AR$138 = ""X"", 'SM Repository'!$AY$3:$AY$138 = ""X""), ""X"")"),3.0)</f>
        <v>3</v>
      </c>
      <c r="E288" s="183">
        <f>IFERROR(__xludf.DUMMYFUNCTION("COUNTIF(FILTER('SM Repository'!$AY$3:$AY$138, 'SM Repository'!AS$3:AS$138 = ""X"", 'SM Repository'!$AY$3:$AY$138 = ""X""), ""X"")"),1.0)</f>
        <v>1</v>
      </c>
      <c r="F288" s="183">
        <f>IFERROR(__xludf.DUMMYFUNCTION("COUNTIF(FILTER('SM Repository'!$AY$3:$AY$138, 'SM Repository'!AT$3:AT$138 = ""X"", 'SM Repository'!$AY$3:$AY$138 = ""X""), ""X"")"),0.0)</f>
        <v>0</v>
      </c>
      <c r="G288" s="183">
        <f>IFERROR(__xludf.DUMMYFUNCTION("COUNTIF(FILTER('SM Repository'!$AY$3:$AY$138, 'SM Repository'!AU$3:AU$138 = ""X"", 'SM Repository'!$AY$3:$AY$138 = ""X""), ""X"")"),5.0)</f>
        <v>5</v>
      </c>
      <c r="H288" s="61">
        <f t="shared" si="23"/>
        <v>17</v>
      </c>
    </row>
    <row r="289">
      <c r="A289" s="80" t="s">
        <v>99</v>
      </c>
      <c r="B289" s="183">
        <f>IFERROR(__xludf.DUMMYFUNCTION("COUNTIF(FILTER('SM Repository'!$AZ$3:$AZ$138, 'SM Repository'!AP$3:AP$138 = ""X"", 'SM Repository'!$AZ$3:$AZ$138 = ""X""), ""X"")"),1.0)</f>
        <v>1</v>
      </c>
      <c r="C289" s="183">
        <f>IFERROR(__xludf.DUMMYFUNCTION("COUNTIF(FILTER('SM Repository'!$AZ$3:$AZ$138, 'SM Repository'!AQ$3:AQ$138 = ""X"", 'SM Repository'!$AZ$3:$AZ$138 = ""X""), ""X"")"),0.0)</f>
        <v>0</v>
      </c>
      <c r="D289" s="183">
        <f>IFERROR(__xludf.DUMMYFUNCTION("COUNTIF(FILTER('SM Repository'!$AZ$3:$AZ$138, 'SM Repository'!AR$3:AR$138 = ""X"", 'SM Repository'!$AZ$3:$AZ$138 = ""X""), ""X"")"),0.0)</f>
        <v>0</v>
      </c>
      <c r="E289" s="183">
        <f>IFERROR(__xludf.DUMMYFUNCTION("COUNTIF(FILTER('SM Repository'!$AZ$3:$AZ$138, 'SM Repository'!AS$3:AS$138 = ""X"", 'SM Repository'!$AZ$3:$AZ$138 = ""X""), ""X"")"),0.0)</f>
        <v>0</v>
      </c>
      <c r="F289" s="183">
        <f>IFERROR(__xludf.DUMMYFUNCTION("COUNTIF(FILTER('SM Repository'!$AZ$3:$AZ$138, 'SM Repository'!AT$3:AT$138 = ""X"", 'SM Repository'!$AZ$3:$AZ$138 = ""X""), ""X"")"),0.0)</f>
        <v>0</v>
      </c>
      <c r="G289" s="183">
        <f>IFERROR(__xludf.DUMMYFUNCTION("COUNTIF(FILTER('SM Repository'!$AZ$3:$AZ$138, 'SM Repository'!AU$3:AU$138 = ""X"", 'SM Repository'!$AZ$3:$AZ$138 = ""X""), ""X"")"),0.0)</f>
        <v>0</v>
      </c>
      <c r="H289" s="61">
        <f t="shared" si="23"/>
        <v>1</v>
      </c>
    </row>
    <row r="290">
      <c r="A290" s="80" t="s">
        <v>1284</v>
      </c>
      <c r="B290" s="183">
        <f>IFERROR(__xludf.DUMMYFUNCTION("COUNTIF(FILTER('SM Repository'!$BA$3:$BA$138, 'SM Repository'!AP$3:AP$138 = ""X"", 'SM Repository'!$BA$3:$BA$138 = ""X""), ""X"")"),0.0)</f>
        <v>0</v>
      </c>
      <c r="C290" s="183">
        <f>IFERROR(__xludf.DUMMYFUNCTION("COUNTIF(FILTER('SM Repository'!$BA$3:$BA$138, 'SM Repository'!AQ$3:AQ$138 = ""X"", 'SM Repository'!$BA$3:$BA$138 = ""X""), ""X"")"),0.0)</f>
        <v>0</v>
      </c>
      <c r="D290" s="183">
        <f>IFERROR(__xludf.DUMMYFUNCTION("COUNTIF(FILTER('SM Repository'!$BA$3:$BA$138, 'SM Repository'!AR$3:AR$138 = ""X"", 'SM Repository'!$BA$3:$BA$138 = ""X""), ""X"")"),0.0)</f>
        <v>0</v>
      </c>
      <c r="E290" s="183">
        <f>IFERROR(__xludf.DUMMYFUNCTION("COUNTIF(FILTER('SM Repository'!$BA$3:$BA$138, 'SM Repository'!AS$3:AS$138 = ""X"", 'SM Repository'!$BA$3:$BA$138 = ""X""), ""X"")"),0.0)</f>
        <v>0</v>
      </c>
      <c r="F290" s="183">
        <f>IFERROR(__xludf.DUMMYFUNCTION("COUNTIF(FILTER('SM Repository'!$BA$3:$BA$138, 'SM Repository'!AT$3:AT$138 = ""X"", 'SM Repository'!$BA$3:$BA$138 = ""X""), ""X"")"),0.0)</f>
        <v>0</v>
      </c>
      <c r="G290" s="183">
        <f>IFERROR(__xludf.DUMMYFUNCTION("COUNTIF(FILTER('SM Repository'!$BA$3:$BA$138, 'SM Repository'!AU$3:AU$138 = ""X"", 'SM Repository'!$BA$3:$BA$138 = ""X""), ""X"")"),0.0)</f>
        <v>0</v>
      </c>
      <c r="H290" s="61">
        <f t="shared" si="23"/>
        <v>0</v>
      </c>
    </row>
    <row r="291">
      <c r="A291" s="80" t="s">
        <v>101</v>
      </c>
      <c r="B291" s="183">
        <f>IFERROR(__xludf.DUMMYFUNCTION("COUNTIF(FILTER('SM Repository'!$BB$3:$BB$138, 'SM Repository'!AP$3:AP$138 = ""X"", 'SM Repository'!$BB$3:$BB$138 = ""X""), ""X"")"),0.0)</f>
        <v>0</v>
      </c>
      <c r="C291" s="183">
        <f>IFERROR(__xludf.DUMMYFUNCTION("COUNTIF(FILTER('SM Repository'!$BB$3:$BB$138, 'SM Repository'!AQ$3:AQ$138 = ""X"", 'SM Repository'!$BB$3:$BB$138 = ""X""), ""X"")"),0.0)</f>
        <v>0</v>
      </c>
      <c r="D291" s="183">
        <f>IFERROR(__xludf.DUMMYFUNCTION("COUNTIF(FILTER('SM Repository'!$BB$3:$BB$138, 'SM Repository'!AR$3:AR$138 = ""X"", 'SM Repository'!$BB$3:$BB$138 = ""X""), ""X"")"),0.0)</f>
        <v>0</v>
      </c>
      <c r="E291" s="183">
        <f>IFERROR(__xludf.DUMMYFUNCTION("COUNTIF(FILTER('SM Repository'!$BB$3:$BB$138, 'SM Repository'!AS$3:AS$138 = ""X"", 'SM Repository'!$BB$3:$BB$138 = ""X""), ""X"")"),0.0)</f>
        <v>0</v>
      </c>
      <c r="F291" s="183">
        <f>IFERROR(__xludf.DUMMYFUNCTION("COUNTIF(FILTER('SM Repository'!$BB$3:$BB$138, 'SM Repository'!AT$3:AT$138 = ""X"", 'SM Repository'!$BB$3:$BB$138 = ""X""), ""X"")"),0.0)</f>
        <v>0</v>
      </c>
      <c r="G291" s="183">
        <f>IFERROR(__xludf.DUMMYFUNCTION("COUNTIF(FILTER('SM Repository'!$BB$3:$BB$138, 'SM Repository'!AU$3:AU$138 = ""X"", 'SM Repository'!$BB$3:$BB$138 = ""X""), ""X"")"),0.0)</f>
        <v>0</v>
      </c>
      <c r="H291" s="61">
        <f t="shared" si="23"/>
        <v>0</v>
      </c>
    </row>
    <row r="292">
      <c r="A292" s="80" t="s">
        <v>85</v>
      </c>
      <c r="B292" s="80">
        <v>0.0</v>
      </c>
      <c r="C292" s="80">
        <v>0.0</v>
      </c>
      <c r="D292" s="80">
        <v>0.0</v>
      </c>
      <c r="E292" s="80">
        <v>0.0</v>
      </c>
      <c r="F292" s="80">
        <v>0.0</v>
      </c>
      <c r="G292" s="80">
        <v>0.0</v>
      </c>
    </row>
    <row r="293">
      <c r="B293" s="61">
        <f t="shared" ref="B293:G293" si="24">sum(B286:B291)</f>
        <v>57</v>
      </c>
      <c r="C293" s="61">
        <f t="shared" si="24"/>
        <v>41</v>
      </c>
      <c r="D293" s="61">
        <f t="shared" si="24"/>
        <v>30</v>
      </c>
      <c r="E293" s="61">
        <f t="shared" si="24"/>
        <v>9</v>
      </c>
      <c r="F293" s="61">
        <f t="shared" si="24"/>
        <v>6</v>
      </c>
      <c r="G293" s="61">
        <f t="shared" si="24"/>
        <v>11</v>
      </c>
    </row>
    <row r="294">
      <c r="B294" s="61">
        <f>'SM Repository'!AP82</f>
        <v>57</v>
      </c>
      <c r="C294" s="61">
        <f>'SM Repository'!AQ82</f>
        <v>41</v>
      </c>
      <c r="D294" s="61">
        <f>'SM Repository'!AR82</f>
        <v>30</v>
      </c>
      <c r="E294" s="61">
        <f>'SM Repository'!AS82</f>
        <v>9</v>
      </c>
      <c r="F294" s="61">
        <f>'SM Repository'!AT82</f>
        <v>6</v>
      </c>
      <c r="G294" s="61">
        <f>'SM Repository'!AU82</f>
        <v>11</v>
      </c>
    </row>
    <row r="307">
      <c r="A307" s="80" t="s">
        <v>1262</v>
      </c>
      <c r="C307" s="80">
        <v>79.0</v>
      </c>
    </row>
    <row r="308">
      <c r="A308" s="24" t="s">
        <v>1285</v>
      </c>
    </row>
    <row r="309">
      <c r="A309" s="88" t="s">
        <v>102</v>
      </c>
      <c r="B309" s="183">
        <f>countif('SM Repository'!BD:BD, "x")</f>
        <v>61</v>
      </c>
    </row>
    <row r="310">
      <c r="A310" s="88" t="s">
        <v>103</v>
      </c>
      <c r="B310" s="183">
        <f>countif('SM Repository'!BE:BE, "x")</f>
        <v>18</v>
      </c>
    </row>
    <row r="311">
      <c r="A311" s="88" t="s">
        <v>104</v>
      </c>
      <c r="B311" s="183">
        <f>countif('SM Repository'!BF:BF, "x")</f>
        <v>21</v>
      </c>
    </row>
    <row r="330">
      <c r="A330" s="25" t="s">
        <v>1286</v>
      </c>
    </row>
    <row r="331">
      <c r="A331" s="199" t="s">
        <v>1287</v>
      </c>
      <c r="B331" s="183">
        <f>countif('SLR Repository'!BY:BY, "x")</f>
        <v>58</v>
      </c>
    </row>
    <row r="332">
      <c r="A332" s="199" t="s">
        <v>1288</v>
      </c>
      <c r="B332" s="183">
        <f>countif('SLR Repository'!BZ:BZ, "x")</f>
        <v>3</v>
      </c>
    </row>
    <row r="333">
      <c r="A333" s="199" t="s">
        <v>107</v>
      </c>
      <c r="B333" s="183">
        <f>countif('SLR Repository'!CA:CA, "x")</f>
        <v>40</v>
      </c>
    </row>
    <row r="334">
      <c r="A334" s="199" t="s">
        <v>108</v>
      </c>
      <c r="B334" s="183">
        <f>countif('SLR Repository'!CB:CB, "x")</f>
        <v>31</v>
      </c>
    </row>
    <row r="335">
      <c r="A335" s="199" t="s">
        <v>1289</v>
      </c>
      <c r="B335" s="183">
        <f>countif('SLR Repository'!CC:CC, "x")</f>
        <v>17</v>
      </c>
    </row>
    <row r="336">
      <c r="A336" s="199" t="s">
        <v>85</v>
      </c>
      <c r="B336" s="183">
        <f>countif('SLR Repository'!CE:CE, "x")</f>
        <v>22</v>
      </c>
    </row>
    <row r="358">
      <c r="B358" s="199" t="s">
        <v>1287</v>
      </c>
      <c r="C358" s="199" t="s">
        <v>1288</v>
      </c>
      <c r="D358" s="199" t="s">
        <v>107</v>
      </c>
      <c r="E358" s="199" t="s">
        <v>108</v>
      </c>
      <c r="F358" s="199" t="s">
        <v>1289</v>
      </c>
      <c r="G358" s="72" t="s">
        <v>110</v>
      </c>
      <c r="H358" s="199" t="s">
        <v>85</v>
      </c>
      <c r="K358" s="199" t="s">
        <v>1287</v>
      </c>
      <c r="L358" s="199" t="s">
        <v>1288</v>
      </c>
      <c r="M358" s="199" t="s">
        <v>107</v>
      </c>
      <c r="N358" s="199" t="s">
        <v>108</v>
      </c>
      <c r="O358" s="199" t="s">
        <v>1289</v>
      </c>
      <c r="P358" s="72" t="s">
        <v>110</v>
      </c>
      <c r="Q358" s="199" t="s">
        <v>85</v>
      </c>
    </row>
    <row r="359">
      <c r="A359" s="80">
        <v>2000.0</v>
      </c>
      <c r="B359" s="61">
        <f>IFERROR(__xludf.DUMMYFUNCTION("COUNTIF(FILTER('SLR Repository'!BY:BY, 'SLR Repository'!H:H = $A359, 'SLR Repository'!BY:BY &lt;&gt; """"), ""x"")"),1.0)</f>
        <v>1</v>
      </c>
      <c r="C359" s="61">
        <f>IFERROR(__xludf.DUMMYFUNCTION("COUNTIF(FILTER('SLR Repository'!BZ:BZ, 'SLR Repository'!H:H = $A359, 'SLR Repository'!BZ:BZ &lt;&gt; """"), ""x"")"),0.0)</f>
        <v>0</v>
      </c>
      <c r="D359" s="61">
        <f>IFERROR(__xludf.DUMMYFUNCTION("COUNTIF(FILTER('SLR Repository'!CA:CA, 'SLR Repository'!H:H = $A359, 'SLR Repository'!CA:CA &lt;&gt; """"), ""x"")"),0.0)</f>
        <v>0</v>
      </c>
      <c r="E359" s="61">
        <f>IFERROR(__xludf.DUMMYFUNCTION("COUNTIF(FILTER('SLR Repository'!CB:CB, 'SLR Repository'!H:H = $A359, 'SLR Repository'!CB:CB &lt;&gt; """"), ""x"")"),0.0)</f>
        <v>0</v>
      </c>
      <c r="F359" s="61">
        <f>IFERROR(__xludf.DUMMYFUNCTION("COUNTIF(FILTER('SLR Repository'!CC:CC, 'SLR Repository'!H:H = $A359, 'SLR Repository'!CC:CC &lt;&gt; """"), ""x"")"),0.0)</f>
        <v>0</v>
      </c>
      <c r="G359" s="61">
        <f>IFERROR(__xludf.DUMMYFUNCTION("COUNTIF(FILTER('SLR Repository'!CD:CD, 'SLR Repository'!H:H = $A359, 'SLR Repository'!CD:CD &lt;&gt; """"), ""x"")"),0.0)</f>
        <v>0</v>
      </c>
      <c r="H359" s="61">
        <f>IFERROR(__xludf.DUMMYFUNCTION("COUNTIF(FILTER('SLR Repository'!CE:CE, 'SLR Repository'!H:H = $A359, 'SLR Repository'!CE:CE &lt;&gt; """"), ""x"")"),0.0)</f>
        <v>0</v>
      </c>
      <c r="J359" s="80">
        <v>2000.0</v>
      </c>
      <c r="K359" s="61">
        <f t="shared" ref="K359:Q359" si="25">B359</f>
        <v>1</v>
      </c>
      <c r="L359" s="61">
        <f t="shared" si="25"/>
        <v>0</v>
      </c>
      <c r="M359" s="61">
        <f t="shared" si="25"/>
        <v>0</v>
      </c>
      <c r="N359" s="61">
        <f t="shared" si="25"/>
        <v>0</v>
      </c>
      <c r="O359" s="61">
        <f t="shared" si="25"/>
        <v>0</v>
      </c>
      <c r="P359" s="61">
        <f t="shared" si="25"/>
        <v>0</v>
      </c>
      <c r="Q359" s="61">
        <f t="shared" si="25"/>
        <v>0</v>
      </c>
    </row>
    <row r="360">
      <c r="A360" s="171">
        <v>2001.0</v>
      </c>
      <c r="B360" s="61">
        <f>IFERROR(__xludf.DUMMYFUNCTION("COUNTIF(FILTER('SLR Repository'!BY:BY, 'SLR Repository'!H:H = $A360, 'SLR Repository'!BY:BY &lt;&gt; """"), ""x"")"),2.0)</f>
        <v>2</v>
      </c>
      <c r="C360" s="61">
        <f>IFERROR(__xludf.DUMMYFUNCTION("COUNTIF(FILTER('SLR Repository'!BZ:BZ, 'SLR Repository'!H:H = $A360, 'SLR Repository'!BZ:BZ &lt;&gt; """"), ""x"")"),0.0)</f>
        <v>0</v>
      </c>
      <c r="D360" s="61">
        <f>IFERROR(__xludf.DUMMYFUNCTION("COUNTIF(FILTER('SLR Repository'!CA:CA, 'SLR Repository'!H:H = $A360, 'SLR Repository'!CA:CA &lt;&gt; """"), ""x"")"),0.0)</f>
        <v>0</v>
      </c>
      <c r="E360" s="61">
        <f>IFERROR(__xludf.DUMMYFUNCTION("COUNTIF(FILTER('SLR Repository'!CB:CB, 'SLR Repository'!H:H = $A360, 'SLR Repository'!CB:CB &lt;&gt; """"), ""x"")"),1.0)</f>
        <v>1</v>
      </c>
      <c r="F360" s="61">
        <f>IFERROR(__xludf.DUMMYFUNCTION("COUNTIF(FILTER('SLR Repository'!CC:CC, 'SLR Repository'!H:H = $A360, 'SLR Repository'!CC:CC &lt;&gt; """"), ""x"")"),0.0)</f>
        <v>0</v>
      </c>
      <c r="G360" s="61">
        <f>IFERROR(__xludf.DUMMYFUNCTION("COUNTIF(FILTER('SLR Repository'!CD:CD, 'SLR Repository'!H:H = $A360, 'SLR Repository'!CD:CD &lt;&gt; """"), ""x"")"),0.0)</f>
        <v>0</v>
      </c>
      <c r="H360" s="61">
        <f>IFERROR(__xludf.DUMMYFUNCTION("COUNTIF(FILTER('SLR Repository'!CE:CE, 'SLR Repository'!H:H = $A360, 'SLR Repository'!CE:CE &lt;&gt; """"), ""x"")"),1.0)</f>
        <v>1</v>
      </c>
      <c r="J360" s="171">
        <v>2001.0</v>
      </c>
      <c r="K360" s="61">
        <f t="shared" ref="K360:Q360" si="26">K359+B360</f>
        <v>3</v>
      </c>
      <c r="L360" s="61">
        <f t="shared" si="26"/>
        <v>0</v>
      </c>
      <c r="M360" s="61">
        <f t="shared" si="26"/>
        <v>0</v>
      </c>
      <c r="N360" s="61">
        <f t="shared" si="26"/>
        <v>1</v>
      </c>
      <c r="O360" s="61">
        <f t="shared" si="26"/>
        <v>0</v>
      </c>
      <c r="P360" s="61">
        <f t="shared" si="26"/>
        <v>0</v>
      </c>
      <c r="Q360" s="61">
        <f t="shared" si="26"/>
        <v>1</v>
      </c>
    </row>
    <row r="361">
      <c r="A361" s="172">
        <f t="shared" ref="A361:A372" si="28">A360+1</f>
        <v>2002</v>
      </c>
      <c r="B361" s="61">
        <f>IFERROR(__xludf.DUMMYFUNCTION("COUNTIF(FILTER('SLR Repository'!BY:BY, 'SLR Repository'!H:H = $A361, 'SLR Repository'!BY:BY &lt;&gt; """"), ""x"")"),4.0)</f>
        <v>4</v>
      </c>
      <c r="C361" s="61">
        <f>IFERROR(__xludf.DUMMYFUNCTION("COUNTIF(FILTER('SLR Repository'!BZ:BZ, 'SLR Repository'!H:H = $A361, 'SLR Repository'!BZ:BZ &lt;&gt; """"), ""x"")"),0.0)</f>
        <v>0</v>
      </c>
      <c r="D361" s="61">
        <f>IFERROR(__xludf.DUMMYFUNCTION("COUNTIF(FILTER('SLR Repository'!CA:CA, 'SLR Repository'!H:H = $A361, 'SLR Repository'!CA:CA &lt;&gt; """"), ""x"")"),3.0)</f>
        <v>3</v>
      </c>
      <c r="E361" s="61">
        <f>IFERROR(__xludf.DUMMYFUNCTION("COUNTIF(FILTER('SLR Repository'!CB:CB, 'SLR Repository'!H:H = $A361, 'SLR Repository'!CB:CB &lt;&gt; """"), ""x"")"),4.0)</f>
        <v>4</v>
      </c>
      <c r="F361" s="61">
        <f>IFERROR(__xludf.DUMMYFUNCTION("COUNTIF(FILTER('SLR Repository'!CC:CC, 'SLR Repository'!H:H = $A361, 'SLR Repository'!CC:CC &lt;&gt; """"), ""x"")"),2.0)</f>
        <v>2</v>
      </c>
      <c r="G361" s="61">
        <f>IFERROR(__xludf.DUMMYFUNCTION("COUNTIF(FILTER('SLR Repository'!CD:CD, 'SLR Repository'!H:H = $A361, 'SLR Repository'!CD:CD &lt;&gt; """"), ""x"")"),0.0)</f>
        <v>0</v>
      </c>
      <c r="H361" s="61">
        <f>IFERROR(__xludf.DUMMYFUNCTION("COUNTIF(FILTER('SLR Repository'!CE:CE, 'SLR Repository'!H:H = $A361, 'SLR Repository'!CE:CE &lt;&gt; """"), ""x"")"),2.0)</f>
        <v>2</v>
      </c>
      <c r="J361" s="172">
        <f t="shared" ref="J361:J372" si="29">J360+1</f>
        <v>2002</v>
      </c>
      <c r="K361" s="61">
        <f t="shared" ref="K361:Q361" si="27">K360+B361</f>
        <v>7</v>
      </c>
      <c r="L361" s="61">
        <f t="shared" si="27"/>
        <v>0</v>
      </c>
      <c r="M361" s="61">
        <f t="shared" si="27"/>
        <v>3</v>
      </c>
      <c r="N361" s="61">
        <f t="shared" si="27"/>
        <v>5</v>
      </c>
      <c r="O361" s="61">
        <f t="shared" si="27"/>
        <v>2</v>
      </c>
      <c r="P361" s="61">
        <f t="shared" si="27"/>
        <v>0</v>
      </c>
      <c r="Q361" s="61">
        <f t="shared" si="27"/>
        <v>3</v>
      </c>
    </row>
    <row r="362">
      <c r="A362" s="172">
        <f t="shared" si="28"/>
        <v>2003</v>
      </c>
      <c r="B362" s="61">
        <f>IFERROR(__xludf.DUMMYFUNCTION("COUNTIF(FILTER('SLR Repository'!BY:BY, 'SLR Repository'!H:H = $A362, 'SLR Repository'!BY:BY &lt;&gt; """"), ""x"")"),0.0)</f>
        <v>0</v>
      </c>
      <c r="C362" s="61">
        <f>IFERROR(__xludf.DUMMYFUNCTION("COUNTIF(FILTER('SLR Repository'!BZ:BZ, 'SLR Repository'!H:H = $A362, 'SLR Repository'!BZ:BZ &lt;&gt; """"), ""x"")"),0.0)</f>
        <v>0</v>
      </c>
      <c r="D362" s="61">
        <f>IFERROR(__xludf.DUMMYFUNCTION("COUNTIF(FILTER('SLR Repository'!CA:CA, 'SLR Repository'!H:H = $A362, 'SLR Repository'!CA:CA &lt;&gt; """"), ""x"")"),0.0)</f>
        <v>0</v>
      </c>
      <c r="E362" s="61">
        <f>IFERROR(__xludf.DUMMYFUNCTION("COUNTIF(FILTER('SLR Repository'!CB:CB, 'SLR Repository'!H:H = $A362, 'SLR Repository'!CB:CB &lt;&gt; """"), ""x"")"),0.0)</f>
        <v>0</v>
      </c>
      <c r="F362" s="61">
        <f>IFERROR(__xludf.DUMMYFUNCTION("COUNTIF(FILTER('SLR Repository'!CC:CC, 'SLR Repository'!H:H = $A362, 'SLR Repository'!CC:CC &lt;&gt; """"), ""x"")"),0.0)</f>
        <v>0</v>
      </c>
      <c r="G362" s="61">
        <f>IFERROR(__xludf.DUMMYFUNCTION("COUNTIF(FILTER('SLR Repository'!CD:CD, 'SLR Repository'!H:H = $A362, 'SLR Repository'!CD:CD &lt;&gt; """"), ""x"")"),0.0)</f>
        <v>0</v>
      </c>
      <c r="H362" s="61">
        <f>IFERROR(__xludf.DUMMYFUNCTION("COUNTIF(FILTER('SLR Repository'!CE:CE, 'SLR Repository'!H:H = $A362, 'SLR Repository'!CE:CE &lt;&gt; """"), ""x"")"),0.0)</f>
        <v>0</v>
      </c>
      <c r="J362" s="172">
        <f t="shared" si="29"/>
        <v>2003</v>
      </c>
      <c r="K362" s="61">
        <f t="shared" ref="K362:Q362" si="30">K361+B362</f>
        <v>7</v>
      </c>
      <c r="L362" s="61">
        <f t="shared" si="30"/>
        <v>0</v>
      </c>
      <c r="M362" s="61">
        <f t="shared" si="30"/>
        <v>3</v>
      </c>
      <c r="N362" s="61">
        <f t="shared" si="30"/>
        <v>5</v>
      </c>
      <c r="O362" s="61">
        <f t="shared" si="30"/>
        <v>2</v>
      </c>
      <c r="P362" s="61">
        <f t="shared" si="30"/>
        <v>0</v>
      </c>
      <c r="Q362" s="61">
        <f t="shared" si="30"/>
        <v>3</v>
      </c>
    </row>
    <row r="363">
      <c r="A363" s="172">
        <f t="shared" si="28"/>
        <v>2004</v>
      </c>
      <c r="B363" s="61">
        <f>IFERROR(__xludf.DUMMYFUNCTION("COUNTIF(FILTER('SLR Repository'!BY:BY, 'SLR Repository'!H:H = $A363, 'SLR Repository'!BY:BY &lt;&gt; """"), ""x"")"),4.0)</f>
        <v>4</v>
      </c>
      <c r="C363" s="61">
        <f>IFERROR(__xludf.DUMMYFUNCTION("COUNTIF(FILTER('SLR Repository'!BZ:BZ, 'SLR Repository'!H:H = $A363, 'SLR Repository'!BZ:BZ &lt;&gt; """"), ""x"")"),0.0)</f>
        <v>0</v>
      </c>
      <c r="D363" s="61">
        <f>IFERROR(__xludf.DUMMYFUNCTION("COUNTIF(FILTER('SLR Repository'!CA:CA, 'SLR Repository'!H:H = $A363, 'SLR Repository'!CA:CA &lt;&gt; """"), ""x"")"),3.0)</f>
        <v>3</v>
      </c>
      <c r="E363" s="61">
        <f>IFERROR(__xludf.DUMMYFUNCTION("COUNTIF(FILTER('SLR Repository'!CB:CB, 'SLR Repository'!H:H = $A363, 'SLR Repository'!CB:CB &lt;&gt; """"), ""x"")"),3.0)</f>
        <v>3</v>
      </c>
      <c r="F363" s="61">
        <f>IFERROR(__xludf.DUMMYFUNCTION("COUNTIF(FILTER('SLR Repository'!CC:CC, 'SLR Repository'!H:H = $A363, 'SLR Repository'!CC:CC &lt;&gt; """"), ""x"")"),1.0)</f>
        <v>1</v>
      </c>
      <c r="G363" s="61">
        <f>IFERROR(__xludf.DUMMYFUNCTION("COUNTIF(FILTER('SLR Repository'!CD:CD, 'SLR Repository'!H:H = $A363, 'SLR Repository'!CD:CD &lt;&gt; """"), ""x"")"),0.0)</f>
        <v>0</v>
      </c>
      <c r="H363" s="61">
        <f>IFERROR(__xludf.DUMMYFUNCTION("COUNTIF(FILTER('SLR Repository'!CE:CE, 'SLR Repository'!H:H = $A363, 'SLR Repository'!CE:CE &lt;&gt; """"), ""x"")"),0.0)</f>
        <v>0</v>
      </c>
      <c r="J363" s="172">
        <f t="shared" si="29"/>
        <v>2004</v>
      </c>
      <c r="K363" s="61">
        <f t="shared" ref="K363:Q363" si="31">K362+B363</f>
        <v>11</v>
      </c>
      <c r="L363" s="61">
        <f t="shared" si="31"/>
        <v>0</v>
      </c>
      <c r="M363" s="61">
        <f t="shared" si="31"/>
        <v>6</v>
      </c>
      <c r="N363" s="61">
        <f t="shared" si="31"/>
        <v>8</v>
      </c>
      <c r="O363" s="61">
        <f t="shared" si="31"/>
        <v>3</v>
      </c>
      <c r="P363" s="61">
        <f t="shared" si="31"/>
        <v>0</v>
      </c>
      <c r="Q363" s="61">
        <f t="shared" si="31"/>
        <v>3</v>
      </c>
    </row>
    <row r="364">
      <c r="A364" s="172">
        <f t="shared" si="28"/>
        <v>2005</v>
      </c>
      <c r="B364" s="61">
        <f>IFERROR(__xludf.DUMMYFUNCTION("COUNTIF(FILTER('SLR Repository'!BY:BY, 'SLR Repository'!H:H = $A364, 'SLR Repository'!BY:BY &lt;&gt; """"), ""x"")"),7.0)</f>
        <v>7</v>
      </c>
      <c r="C364" s="61">
        <f>IFERROR(__xludf.DUMMYFUNCTION("COUNTIF(FILTER('SLR Repository'!BZ:BZ, 'SLR Repository'!H:H = $A364, 'SLR Repository'!BZ:BZ &lt;&gt; """"), ""x"")"),0.0)</f>
        <v>0</v>
      </c>
      <c r="D364" s="61">
        <f>IFERROR(__xludf.DUMMYFUNCTION("COUNTIF(FILTER('SLR Repository'!CA:CA, 'SLR Repository'!H:H = $A364, 'SLR Repository'!CA:CA &lt;&gt; """"), ""x"")"),4.0)</f>
        <v>4</v>
      </c>
      <c r="E364" s="61">
        <f>IFERROR(__xludf.DUMMYFUNCTION("COUNTIF(FILTER('SLR Repository'!CB:CB, 'SLR Repository'!H:H = $A364, 'SLR Repository'!CB:CB &lt;&gt; """"), ""x"")"),3.0)</f>
        <v>3</v>
      </c>
      <c r="F364" s="61">
        <f>IFERROR(__xludf.DUMMYFUNCTION("COUNTIF(FILTER('SLR Repository'!CC:CC, 'SLR Repository'!H:H = $A364, 'SLR Repository'!CC:CC &lt;&gt; """"), ""x"")"),1.0)</f>
        <v>1</v>
      </c>
      <c r="G364" s="61">
        <f>IFERROR(__xludf.DUMMYFUNCTION("COUNTIF(FILTER('SLR Repository'!CD:CD, 'SLR Repository'!H:H = $A364, 'SLR Repository'!CD:CD &lt;&gt; """"), ""x"")"),1.0)</f>
        <v>1</v>
      </c>
      <c r="H364" s="61">
        <f>IFERROR(__xludf.DUMMYFUNCTION("COUNTIF(FILTER('SLR Repository'!CE:CE, 'SLR Repository'!H:H = $A364, 'SLR Repository'!CE:CE &lt;&gt; """"), ""x"")"),1.0)</f>
        <v>1</v>
      </c>
      <c r="J364" s="172">
        <f t="shared" si="29"/>
        <v>2005</v>
      </c>
      <c r="K364" s="61">
        <f t="shared" ref="K364:Q364" si="32">K363+B364</f>
        <v>18</v>
      </c>
      <c r="L364" s="61">
        <f t="shared" si="32"/>
        <v>0</v>
      </c>
      <c r="M364" s="61">
        <f t="shared" si="32"/>
        <v>10</v>
      </c>
      <c r="N364" s="61">
        <f t="shared" si="32"/>
        <v>11</v>
      </c>
      <c r="O364" s="61">
        <f t="shared" si="32"/>
        <v>4</v>
      </c>
      <c r="P364" s="61">
        <f t="shared" si="32"/>
        <v>1</v>
      </c>
      <c r="Q364" s="61">
        <f t="shared" si="32"/>
        <v>4</v>
      </c>
    </row>
    <row r="365">
      <c r="A365" s="172">
        <f t="shared" si="28"/>
        <v>2006</v>
      </c>
      <c r="B365" s="61">
        <f>IFERROR(__xludf.DUMMYFUNCTION("COUNTIF(FILTER('SLR Repository'!BY:BY, 'SLR Repository'!H:H = $A365, 'SLR Repository'!BY:BY &lt;&gt; """"), ""x"")"),8.0)</f>
        <v>8</v>
      </c>
      <c r="C365" s="61">
        <f>IFERROR(__xludf.DUMMYFUNCTION("COUNTIF(FILTER('SLR Repository'!BZ:BZ, 'SLR Repository'!H:H = $A365, 'SLR Repository'!BZ:BZ &lt;&gt; """"), ""x"")"),0.0)</f>
        <v>0</v>
      </c>
      <c r="D365" s="61">
        <f>IFERROR(__xludf.DUMMYFUNCTION("COUNTIF(FILTER('SLR Repository'!CA:CA, 'SLR Repository'!H:H = $A365, 'SLR Repository'!CA:CA &lt;&gt; """"), ""x"")"),4.0)</f>
        <v>4</v>
      </c>
      <c r="E365" s="61">
        <f>IFERROR(__xludf.DUMMYFUNCTION("COUNTIF(FILTER('SLR Repository'!CB:CB, 'SLR Repository'!H:H = $A365, 'SLR Repository'!CB:CB &lt;&gt; """"), ""x"")"),1.0)</f>
        <v>1</v>
      </c>
      <c r="F365" s="61">
        <f>IFERROR(__xludf.DUMMYFUNCTION("COUNTIF(FILTER('SLR Repository'!CC:CC, 'SLR Repository'!H:H = $A365, 'SLR Repository'!CC:CC &lt;&gt; """"), ""x"")"),1.0)</f>
        <v>1</v>
      </c>
      <c r="G365" s="61">
        <f>IFERROR(__xludf.DUMMYFUNCTION("COUNTIF(FILTER('SLR Repository'!CD:CD, 'SLR Repository'!H:H = $A365, 'SLR Repository'!CD:CD &lt;&gt; """"), ""x"")"),3.0)</f>
        <v>3</v>
      </c>
      <c r="H365" s="61">
        <f>IFERROR(__xludf.DUMMYFUNCTION("COUNTIF(FILTER('SLR Repository'!CE:CE, 'SLR Repository'!H:H = $A365, 'SLR Repository'!CE:CE &lt;&gt; """"), ""x"")"),3.0)</f>
        <v>3</v>
      </c>
      <c r="J365" s="172">
        <f t="shared" si="29"/>
        <v>2006</v>
      </c>
      <c r="K365" s="61">
        <f t="shared" ref="K365:Q365" si="33">K364+B365</f>
        <v>26</v>
      </c>
      <c r="L365" s="61">
        <f t="shared" si="33"/>
        <v>0</v>
      </c>
      <c r="M365" s="61">
        <f t="shared" si="33"/>
        <v>14</v>
      </c>
      <c r="N365" s="61">
        <f t="shared" si="33"/>
        <v>12</v>
      </c>
      <c r="O365" s="61">
        <f t="shared" si="33"/>
        <v>5</v>
      </c>
      <c r="P365" s="61">
        <f t="shared" si="33"/>
        <v>4</v>
      </c>
      <c r="Q365" s="61">
        <f t="shared" si="33"/>
        <v>7</v>
      </c>
    </row>
    <row r="366">
      <c r="A366" s="172">
        <f t="shared" si="28"/>
        <v>2007</v>
      </c>
      <c r="B366" s="61">
        <f>IFERROR(__xludf.DUMMYFUNCTION("COUNTIF(FILTER('SLR Repository'!BY:BY, 'SLR Repository'!H:H = $A366, 'SLR Repository'!BY:BY &lt;&gt; """"), ""x"")"),2.0)</f>
        <v>2</v>
      </c>
      <c r="C366" s="61">
        <f>IFERROR(__xludf.DUMMYFUNCTION("COUNTIF(FILTER('SLR Repository'!BZ:BZ, 'SLR Repository'!H:H = $A366, 'SLR Repository'!BZ:BZ &lt;&gt; """"), ""x"")"),0.0)</f>
        <v>0</v>
      </c>
      <c r="D366" s="61">
        <f>IFERROR(__xludf.DUMMYFUNCTION("COUNTIF(FILTER('SLR Repository'!CA:CA, 'SLR Repository'!H:H = $A366, 'SLR Repository'!CA:CA &lt;&gt; """"), ""x"")"),0.0)</f>
        <v>0</v>
      </c>
      <c r="E366" s="61">
        <f>IFERROR(__xludf.DUMMYFUNCTION("COUNTIF(FILTER('SLR Repository'!CB:CB, 'SLR Repository'!H:H = $A366, 'SLR Repository'!CB:CB &lt;&gt; """"), ""x"")"),0.0)</f>
        <v>0</v>
      </c>
      <c r="F366" s="61">
        <f>IFERROR(__xludf.DUMMYFUNCTION("COUNTIF(FILTER('SLR Repository'!CC:CC, 'SLR Repository'!H:H = $A366, 'SLR Repository'!CC:CC &lt;&gt; """"), ""x"")"),1.0)</f>
        <v>1</v>
      </c>
      <c r="G366" s="61">
        <f>IFERROR(__xludf.DUMMYFUNCTION("COUNTIF(FILTER('SLR Repository'!CD:CD, 'SLR Repository'!H:H = $A366, 'SLR Repository'!CD:CD &lt;&gt; """"), ""x"")"),0.0)</f>
        <v>0</v>
      </c>
      <c r="H366" s="61">
        <f>IFERROR(__xludf.DUMMYFUNCTION("COUNTIF(FILTER('SLR Repository'!CE:CE, 'SLR Repository'!H:H = $A366, 'SLR Repository'!CE:CE &lt;&gt; """"), ""x"")"),1.0)</f>
        <v>1</v>
      </c>
      <c r="J366" s="172">
        <f t="shared" si="29"/>
        <v>2007</v>
      </c>
      <c r="K366" s="61">
        <f t="shared" ref="K366:Q366" si="34">K365+B366</f>
        <v>28</v>
      </c>
      <c r="L366" s="61">
        <f t="shared" si="34"/>
        <v>0</v>
      </c>
      <c r="M366" s="61">
        <f t="shared" si="34"/>
        <v>14</v>
      </c>
      <c r="N366" s="61">
        <f t="shared" si="34"/>
        <v>12</v>
      </c>
      <c r="O366" s="61">
        <f t="shared" si="34"/>
        <v>6</v>
      </c>
      <c r="P366" s="61">
        <f t="shared" si="34"/>
        <v>4</v>
      </c>
      <c r="Q366" s="61">
        <f t="shared" si="34"/>
        <v>8</v>
      </c>
    </row>
    <row r="367">
      <c r="A367" s="172">
        <f t="shared" si="28"/>
        <v>2008</v>
      </c>
      <c r="B367" s="61">
        <f>IFERROR(__xludf.DUMMYFUNCTION("COUNTIF(FILTER('SLR Repository'!BY:BY, 'SLR Repository'!H:H = $A367, 'SLR Repository'!BY:BY &lt;&gt; """"), ""x"")"),5.0)</f>
        <v>5</v>
      </c>
      <c r="C367" s="61">
        <f>IFERROR(__xludf.DUMMYFUNCTION("COUNTIF(FILTER('SLR Repository'!BZ:BZ, 'SLR Repository'!H:H = $A367, 'SLR Repository'!BZ:BZ &lt;&gt; """"), ""x"")"),2.0)</f>
        <v>2</v>
      </c>
      <c r="D367" s="61">
        <f>IFERROR(__xludf.DUMMYFUNCTION("COUNTIF(FILTER('SLR Repository'!CA:CA, 'SLR Repository'!H:H = $A367, 'SLR Repository'!CA:CA &lt;&gt; """"), ""x"")"),4.0)</f>
        <v>4</v>
      </c>
      <c r="E367" s="61">
        <f>IFERROR(__xludf.DUMMYFUNCTION("COUNTIF(FILTER('SLR Repository'!CB:CB, 'SLR Repository'!H:H = $A367, 'SLR Repository'!CB:CB &lt;&gt; """"), ""x"")"),5.0)</f>
        <v>5</v>
      </c>
      <c r="F367" s="61">
        <f>IFERROR(__xludf.DUMMYFUNCTION("COUNTIF(FILTER('SLR Repository'!CC:CC, 'SLR Repository'!H:H = $A367, 'SLR Repository'!CC:CC &lt;&gt; """"), ""x"")"),3.0)</f>
        <v>3</v>
      </c>
      <c r="G367" s="61">
        <f>IFERROR(__xludf.DUMMYFUNCTION("COUNTIF(FILTER('SLR Repository'!CD:CD, 'SLR Repository'!H:H = $A367, 'SLR Repository'!CD:CD &lt;&gt; """"), ""x"")"),0.0)</f>
        <v>0</v>
      </c>
      <c r="H367" s="61">
        <f>IFERROR(__xludf.DUMMYFUNCTION("COUNTIF(FILTER('SLR Repository'!CE:CE, 'SLR Repository'!H:H = $A367, 'SLR Repository'!CE:CE &lt;&gt; """"), ""x"")"),3.0)</f>
        <v>3</v>
      </c>
      <c r="J367" s="172">
        <f t="shared" si="29"/>
        <v>2008</v>
      </c>
      <c r="K367" s="61">
        <f t="shared" ref="K367:Q367" si="35">K366+B367</f>
        <v>33</v>
      </c>
      <c r="L367" s="61">
        <f t="shared" si="35"/>
        <v>2</v>
      </c>
      <c r="M367" s="61">
        <f t="shared" si="35"/>
        <v>18</v>
      </c>
      <c r="N367" s="61">
        <f t="shared" si="35"/>
        <v>17</v>
      </c>
      <c r="O367" s="61">
        <f t="shared" si="35"/>
        <v>9</v>
      </c>
      <c r="P367" s="61">
        <f t="shared" si="35"/>
        <v>4</v>
      </c>
      <c r="Q367" s="61">
        <f t="shared" si="35"/>
        <v>11</v>
      </c>
    </row>
    <row r="368">
      <c r="A368" s="172">
        <f t="shared" si="28"/>
        <v>2009</v>
      </c>
      <c r="B368" s="61">
        <f>IFERROR(__xludf.DUMMYFUNCTION("COUNTIF(FILTER('SLR Repository'!BY:BY, 'SLR Repository'!H:H = $A368, 'SLR Repository'!BY:BY &lt;&gt; """"), ""x"")"),3.0)</f>
        <v>3</v>
      </c>
      <c r="C368" s="61">
        <f>IFERROR(__xludf.DUMMYFUNCTION("COUNTIF(FILTER('SLR Repository'!BZ:BZ, 'SLR Repository'!H:H = $A368, 'SLR Repository'!BZ:BZ &lt;&gt; """"), ""x"")"),0.0)</f>
        <v>0</v>
      </c>
      <c r="D368" s="61">
        <f>IFERROR(__xludf.DUMMYFUNCTION("COUNTIF(FILTER('SLR Repository'!CA:CA, 'SLR Repository'!H:H = $A368, 'SLR Repository'!CA:CA &lt;&gt; """"), ""x"")"),2.0)</f>
        <v>2</v>
      </c>
      <c r="E368" s="61">
        <f>IFERROR(__xludf.DUMMYFUNCTION("COUNTIF(FILTER('SLR Repository'!CB:CB, 'SLR Repository'!H:H = $A368, 'SLR Repository'!CB:CB &lt;&gt; """"), ""x"")"),2.0)</f>
        <v>2</v>
      </c>
      <c r="F368" s="61">
        <f>IFERROR(__xludf.DUMMYFUNCTION("COUNTIF(FILTER('SLR Repository'!CC:CC, 'SLR Repository'!H:H = $A368, 'SLR Repository'!CC:CC &lt;&gt; """"), ""x"")"),3.0)</f>
        <v>3</v>
      </c>
      <c r="G368" s="61">
        <f>IFERROR(__xludf.DUMMYFUNCTION("COUNTIF(FILTER('SLR Repository'!CD:CD, 'SLR Repository'!H:H = $A368, 'SLR Repository'!CD:CD &lt;&gt; """"), ""x"")"),0.0)</f>
        <v>0</v>
      </c>
      <c r="H368" s="61">
        <f>IFERROR(__xludf.DUMMYFUNCTION("COUNTIF(FILTER('SLR Repository'!CE:CE, 'SLR Repository'!H:H = $A368, 'SLR Repository'!CE:CE &lt;&gt; """"), ""x"")"),3.0)</f>
        <v>3</v>
      </c>
      <c r="J368" s="172">
        <f t="shared" si="29"/>
        <v>2009</v>
      </c>
      <c r="K368" s="61">
        <f t="shared" ref="K368:Q368" si="36">K367+B368</f>
        <v>36</v>
      </c>
      <c r="L368" s="61">
        <f t="shared" si="36"/>
        <v>2</v>
      </c>
      <c r="M368" s="61">
        <f t="shared" si="36"/>
        <v>20</v>
      </c>
      <c r="N368" s="61">
        <f t="shared" si="36"/>
        <v>19</v>
      </c>
      <c r="O368" s="61">
        <f t="shared" si="36"/>
        <v>12</v>
      </c>
      <c r="P368" s="61">
        <f t="shared" si="36"/>
        <v>4</v>
      </c>
      <c r="Q368" s="61">
        <f t="shared" si="36"/>
        <v>14</v>
      </c>
    </row>
    <row r="369">
      <c r="A369" s="172">
        <f t="shared" si="28"/>
        <v>2010</v>
      </c>
      <c r="B369" s="61">
        <f>IFERROR(__xludf.DUMMYFUNCTION("COUNTIF(FILTER('SLR Repository'!BY:BY, 'SLR Repository'!H:H = $A369, 'SLR Repository'!BY:BY &lt;&gt; """"), ""x"")"),9.0)</f>
        <v>9</v>
      </c>
      <c r="C369" s="61">
        <f>IFERROR(__xludf.DUMMYFUNCTION("COUNTIF(FILTER('SLR Repository'!BZ:BZ, 'SLR Repository'!H:H = $A369, 'SLR Repository'!BZ:BZ &lt;&gt; """"), ""x"")"),1.0)</f>
        <v>1</v>
      </c>
      <c r="D369" s="61">
        <f>IFERROR(__xludf.DUMMYFUNCTION("COUNTIF(FILTER('SLR Repository'!CA:CA, 'SLR Repository'!H:H = $A369, 'SLR Repository'!CA:CA &lt;&gt; """"), ""x"")"),6.0)</f>
        <v>6</v>
      </c>
      <c r="E369" s="61">
        <f>IFERROR(__xludf.DUMMYFUNCTION("COUNTIF(FILTER('SLR Repository'!CB:CB, 'SLR Repository'!H:H = $A369, 'SLR Repository'!CB:CB &lt;&gt; """"), ""x"")"),2.0)</f>
        <v>2</v>
      </c>
      <c r="F369" s="61">
        <f>IFERROR(__xludf.DUMMYFUNCTION("COUNTIF(FILTER('SLR Repository'!CC:CC, 'SLR Repository'!H:H = $A369, 'SLR Repository'!CC:CC &lt;&gt; """"), ""x"")"),2.0)</f>
        <v>2</v>
      </c>
      <c r="G369" s="61">
        <f>IFERROR(__xludf.DUMMYFUNCTION("COUNTIF(FILTER('SLR Repository'!CD:CD, 'SLR Repository'!H:H = $A369, 'SLR Repository'!CD:CD &lt;&gt; """"), ""x"")"),1.0)</f>
        <v>1</v>
      </c>
      <c r="H369" s="61">
        <f>IFERROR(__xludf.DUMMYFUNCTION("COUNTIF(FILTER('SLR Repository'!CE:CE, 'SLR Repository'!H:H = $A369, 'SLR Repository'!CE:CE &lt;&gt; """"), ""x"")"),4.0)</f>
        <v>4</v>
      </c>
      <c r="J369" s="172">
        <f t="shared" si="29"/>
        <v>2010</v>
      </c>
      <c r="K369" s="61">
        <f t="shared" ref="K369:Q369" si="37">K368+B369</f>
        <v>45</v>
      </c>
      <c r="L369" s="61">
        <f t="shared" si="37"/>
        <v>3</v>
      </c>
      <c r="M369" s="61">
        <f t="shared" si="37"/>
        <v>26</v>
      </c>
      <c r="N369" s="61">
        <f t="shared" si="37"/>
        <v>21</v>
      </c>
      <c r="O369" s="61">
        <f t="shared" si="37"/>
        <v>14</v>
      </c>
      <c r="P369" s="61">
        <f t="shared" si="37"/>
        <v>5</v>
      </c>
      <c r="Q369" s="61">
        <f t="shared" si="37"/>
        <v>18</v>
      </c>
    </row>
    <row r="370">
      <c r="A370" s="172">
        <f t="shared" si="28"/>
        <v>2011</v>
      </c>
      <c r="B370" s="61">
        <f>IFERROR(__xludf.DUMMYFUNCTION("COUNTIF(FILTER('SLR Repository'!BY:BY, 'SLR Repository'!H:H = $A370, 'SLR Repository'!BY:BY &lt;&gt; """"), ""x"")"),7.0)</f>
        <v>7</v>
      </c>
      <c r="C370" s="61">
        <f>IFERROR(__xludf.DUMMYFUNCTION("COUNTIF(FILTER('SLR Repository'!BZ:BZ, 'SLR Repository'!H:H = $A370, 'SLR Repository'!BZ:BZ &lt;&gt; """"), ""x"")"),0.0)</f>
        <v>0</v>
      </c>
      <c r="D370" s="61">
        <f>IFERROR(__xludf.DUMMYFUNCTION("COUNTIF(FILTER('SLR Repository'!CA:CA, 'SLR Repository'!H:H = $A370, 'SLR Repository'!CA:CA &lt;&gt; """"), ""x"")"),5.0)</f>
        <v>5</v>
      </c>
      <c r="E370" s="61">
        <f>IFERROR(__xludf.DUMMYFUNCTION("COUNTIF(FILTER('SLR Repository'!CB:CB, 'SLR Repository'!H:H = $A370, 'SLR Repository'!CB:CB &lt;&gt; """"), ""x"")"),4.0)</f>
        <v>4</v>
      </c>
      <c r="F370" s="61">
        <f>IFERROR(__xludf.DUMMYFUNCTION("COUNTIF(FILTER('SLR Repository'!CC:CC, 'SLR Repository'!H:H = $A370, 'SLR Repository'!CC:CC &lt;&gt; """"), ""x"")"),1.0)</f>
        <v>1</v>
      </c>
      <c r="G370" s="61">
        <f>IFERROR(__xludf.DUMMYFUNCTION("COUNTIF(FILTER('SLR Repository'!CD:CD, 'SLR Repository'!H:H = $A370, 'SLR Repository'!CD:CD &lt;&gt; """"), ""x"")"),0.0)</f>
        <v>0</v>
      </c>
      <c r="H370" s="61">
        <f>IFERROR(__xludf.DUMMYFUNCTION("COUNTIF(FILTER('SLR Repository'!CE:CE, 'SLR Repository'!H:H = $A370, 'SLR Repository'!CE:CE &lt;&gt; """"), ""x"")"),2.0)</f>
        <v>2</v>
      </c>
      <c r="J370" s="172">
        <f t="shared" si="29"/>
        <v>2011</v>
      </c>
      <c r="K370" s="61">
        <f t="shared" ref="K370:Q370" si="38">K369+B370</f>
        <v>52</v>
      </c>
      <c r="L370" s="61">
        <f t="shared" si="38"/>
        <v>3</v>
      </c>
      <c r="M370" s="61">
        <f t="shared" si="38"/>
        <v>31</v>
      </c>
      <c r="N370" s="61">
        <f t="shared" si="38"/>
        <v>25</v>
      </c>
      <c r="O370" s="61">
        <f t="shared" si="38"/>
        <v>15</v>
      </c>
      <c r="P370" s="61">
        <f t="shared" si="38"/>
        <v>5</v>
      </c>
      <c r="Q370" s="61">
        <f t="shared" si="38"/>
        <v>20</v>
      </c>
    </row>
    <row r="371">
      <c r="A371" s="172">
        <f t="shared" si="28"/>
        <v>2012</v>
      </c>
      <c r="B371" s="61">
        <f>IFERROR(__xludf.DUMMYFUNCTION("COUNTIF(FILTER('SLR Repository'!BY:BY, 'SLR Repository'!H:H = $A371, 'SLR Repository'!BY:BY &lt;&gt; """"), ""x"")"),3.0)</f>
        <v>3</v>
      </c>
      <c r="C371" s="61">
        <f>IFERROR(__xludf.DUMMYFUNCTION("COUNTIF(FILTER('SLR Repository'!BZ:BZ, 'SLR Repository'!H:H = $A371, 'SLR Repository'!BZ:BZ &lt;&gt; """"), ""x"")"),0.0)</f>
        <v>0</v>
      </c>
      <c r="D371" s="61">
        <f>IFERROR(__xludf.DUMMYFUNCTION("COUNTIF(FILTER('SLR Repository'!CA:CA, 'SLR Repository'!H:H = $A371, 'SLR Repository'!CA:CA &lt;&gt; """"), ""x"")"),5.0)</f>
        <v>5</v>
      </c>
      <c r="E371" s="61">
        <f>IFERROR(__xludf.DUMMYFUNCTION("COUNTIF(FILTER('SLR Repository'!CB:CB, 'SLR Repository'!H:H = $A371, 'SLR Repository'!CB:CB &lt;&gt; """"), ""x"")"),3.0)</f>
        <v>3</v>
      </c>
      <c r="F371" s="61">
        <f>IFERROR(__xludf.DUMMYFUNCTION("COUNTIF(FILTER('SLR Repository'!CC:CC, 'SLR Repository'!H:H = $A371, 'SLR Repository'!CC:CC &lt;&gt; """"), ""x"")"),0.0)</f>
        <v>0</v>
      </c>
      <c r="G371" s="61">
        <f>IFERROR(__xludf.DUMMYFUNCTION("COUNTIF(FILTER('SLR Repository'!CD:CD, 'SLR Repository'!H:H = $A371, 'SLR Repository'!CD:CD &lt;&gt; """"), ""x"")"),1.0)</f>
        <v>1</v>
      </c>
      <c r="H371" s="61">
        <f>IFERROR(__xludf.DUMMYFUNCTION("COUNTIF(FILTER('SLR Repository'!CE:CE, 'SLR Repository'!H:H = $A371, 'SLR Repository'!CE:CE &lt;&gt; """"), ""x"")"),2.0)</f>
        <v>2</v>
      </c>
      <c r="J371" s="172">
        <f t="shared" si="29"/>
        <v>2012</v>
      </c>
      <c r="K371" s="61">
        <f t="shared" ref="K371:Q371" si="39">K370+B371</f>
        <v>55</v>
      </c>
      <c r="L371" s="61">
        <f t="shared" si="39"/>
        <v>3</v>
      </c>
      <c r="M371" s="61">
        <f t="shared" si="39"/>
        <v>36</v>
      </c>
      <c r="N371" s="61">
        <f t="shared" si="39"/>
        <v>28</v>
      </c>
      <c r="O371" s="61">
        <f t="shared" si="39"/>
        <v>15</v>
      </c>
      <c r="P371" s="61">
        <f t="shared" si="39"/>
        <v>6</v>
      </c>
      <c r="Q371" s="61">
        <f t="shared" si="39"/>
        <v>22</v>
      </c>
    </row>
    <row r="372">
      <c r="A372" s="172">
        <f t="shared" si="28"/>
        <v>2013</v>
      </c>
      <c r="B372" s="61">
        <f>IFERROR(__xludf.DUMMYFUNCTION("COUNTIF(FILTER('SLR Repository'!BY:BY, 'SLR Repository'!H:H = $A372, 'SLR Repository'!BY:BY &lt;&gt; """"), ""x"")"),3.0)</f>
        <v>3</v>
      </c>
      <c r="C372" s="61">
        <f>IFERROR(__xludf.DUMMYFUNCTION("COUNTIF(FILTER('SLR Repository'!BZ:BZ, 'SLR Repository'!H:H = $A372, 'SLR Repository'!BZ:BZ &lt;&gt; """"), ""x"")"),0.0)</f>
        <v>0</v>
      </c>
      <c r="D372" s="61">
        <f>IFERROR(__xludf.DUMMYFUNCTION("COUNTIF(FILTER('SLR Repository'!CA:CA, 'SLR Repository'!H:H = $A372, 'SLR Repository'!CA:CA &lt;&gt; """"), ""x"")"),4.0)</f>
        <v>4</v>
      </c>
      <c r="E372" s="61">
        <f>IFERROR(__xludf.DUMMYFUNCTION("COUNTIF(FILTER('SLR Repository'!CB:CB, 'SLR Repository'!H:H = $A372, 'SLR Repository'!CB:CB &lt;&gt; """"), ""x"")"),3.0)</f>
        <v>3</v>
      </c>
      <c r="F372" s="61">
        <f>IFERROR(__xludf.DUMMYFUNCTION("COUNTIF(FILTER('SLR Repository'!CC:CC, 'SLR Repository'!H:H = $A372, 'SLR Repository'!CC:CC &lt;&gt; """"), ""x"")"),2.0)</f>
        <v>2</v>
      </c>
      <c r="G372" s="61">
        <f>IFERROR(__xludf.DUMMYFUNCTION("COUNTIF(FILTER('SLR Repository'!CD:CD, 'SLR Repository'!H:H = $A372, 'SLR Repository'!CD:CD &lt;&gt; """"), ""x"")"),0.0)</f>
        <v>0</v>
      </c>
      <c r="H372" s="61">
        <f>IFERROR(__xludf.DUMMYFUNCTION("COUNTIF(FILTER('SLR Repository'!CE:CE, 'SLR Repository'!H:H = $A372, 'SLR Repository'!CE:CE &lt;&gt; """"), ""x"")"),0.0)</f>
        <v>0</v>
      </c>
      <c r="J372" s="172">
        <f t="shared" si="29"/>
        <v>2013</v>
      </c>
      <c r="K372" s="61">
        <f t="shared" ref="K372:Q372" si="40">K371+B372</f>
        <v>58</v>
      </c>
      <c r="L372" s="61">
        <f t="shared" si="40"/>
        <v>3</v>
      </c>
      <c r="M372" s="61">
        <f t="shared" si="40"/>
        <v>40</v>
      </c>
      <c r="N372" s="61">
        <f t="shared" si="40"/>
        <v>31</v>
      </c>
      <c r="O372" s="61">
        <f t="shared" si="40"/>
        <v>17</v>
      </c>
      <c r="P372" s="61">
        <f t="shared" si="40"/>
        <v>6</v>
      </c>
      <c r="Q372" s="61">
        <f t="shared" si="40"/>
        <v>22</v>
      </c>
    </row>
    <row r="373">
      <c r="B373" s="61">
        <f t="shared" ref="B373:H373" si="41">sum(B359:B372)</f>
        <v>58</v>
      </c>
      <c r="C373" s="61">
        <f t="shared" si="41"/>
        <v>3</v>
      </c>
      <c r="D373" s="61">
        <f t="shared" si="41"/>
        <v>40</v>
      </c>
      <c r="E373" s="61">
        <f t="shared" si="41"/>
        <v>31</v>
      </c>
      <c r="F373" s="61">
        <f t="shared" si="41"/>
        <v>17</v>
      </c>
      <c r="G373" s="61">
        <f t="shared" si="41"/>
        <v>6</v>
      </c>
      <c r="H373" s="61">
        <f t="shared" si="41"/>
        <v>22</v>
      </c>
    </row>
    <row r="374">
      <c r="B374" s="61">
        <f>'SLR Repository'!BY98</f>
        <v>58</v>
      </c>
      <c r="C374" s="61">
        <f>'SLR Repository'!BZ98</f>
        <v>3</v>
      </c>
      <c r="D374" s="61">
        <f>'SLR Repository'!CA98</f>
        <v>40</v>
      </c>
      <c r="E374" s="61">
        <f>'SLR Repository'!CB98</f>
        <v>31</v>
      </c>
      <c r="F374" s="61">
        <f>'SLR Repository'!CC98</f>
        <v>17</v>
      </c>
      <c r="G374" s="61">
        <f>'SLR Repository'!CD98</f>
        <v>6</v>
      </c>
      <c r="H374" s="61">
        <f>'SLR Repository'!CE98</f>
        <v>22</v>
      </c>
    </row>
    <row r="388">
      <c r="A388" s="18" t="s">
        <v>1290</v>
      </c>
    </row>
    <row r="389">
      <c r="A389" s="87" t="s">
        <v>112</v>
      </c>
      <c r="B389" s="182">
        <v>42.0</v>
      </c>
    </row>
    <row r="390">
      <c r="A390" s="87" t="s">
        <v>113</v>
      </c>
      <c r="B390" s="182">
        <v>59.0</v>
      </c>
    </row>
    <row r="391">
      <c r="A391" s="87" t="s">
        <v>114</v>
      </c>
      <c r="B391" s="182">
        <v>13.0</v>
      </c>
    </row>
    <row r="416">
      <c r="A416" s="178"/>
      <c r="B416" s="87" t="s">
        <v>112</v>
      </c>
      <c r="C416" s="87" t="s">
        <v>113</v>
      </c>
      <c r="D416" s="87" t="s">
        <v>114</v>
      </c>
    </row>
    <row r="417">
      <c r="A417" s="171">
        <v>2001.0</v>
      </c>
      <c r="B417" s="61">
        <f>IFERROR(__xludf.DUMMYFUNCTION("COUNTIF(FILTER('SM Repository'!BM:BM, 'SM Repository'!AF:AF = $A417, 'SM Repository'!BM:BM &lt;&gt; """"), ""x"")"),2.0)</f>
        <v>2</v>
      </c>
      <c r="C417" s="61">
        <f>IFERROR(__xludf.DUMMYFUNCTION("COUNTIF(FILTER('SM Repository'!BN:BN, 'SM Repository'!AF:AF = $A417, 'SM Repository'!BN:BN &lt;&gt; """"), ""x"")"),0.0)</f>
        <v>0</v>
      </c>
      <c r="D417" s="61">
        <f>IFERROR(__xludf.DUMMYFUNCTION("COUNTIF(FILTER('SM Repository'!BO:BO, 'SM Repository'!AF:AF = $A417, 'SM Repository'!BO:BO &lt;&gt; """"), ""x"")"),0.0)</f>
        <v>0</v>
      </c>
    </row>
    <row r="418">
      <c r="A418" s="172">
        <f t="shared" ref="A418:A427" si="42">A417+1</f>
        <v>2002</v>
      </c>
      <c r="B418" s="61">
        <f>IFERROR(__xludf.DUMMYFUNCTION("COUNTIF(FILTER('SM Repository'!BM:BM, 'SM Repository'!AF:AF = $A418, 'SM Repository'!BM:BM &lt;&gt; """"), ""x"")"),1.0)</f>
        <v>1</v>
      </c>
      <c r="C418" s="61">
        <f>IFERROR(__xludf.DUMMYFUNCTION("COUNTIF(FILTER('SM Repository'!BN:BN, 'SM Repository'!AF:AF = $A418, 'SM Repository'!BN:BN &lt;&gt; """"), ""x"")"),1.0)</f>
        <v>1</v>
      </c>
      <c r="D418" s="61">
        <f>IFERROR(__xludf.DUMMYFUNCTION("COUNTIF(FILTER('SM Repository'!BO:BO, 'SM Repository'!AF:AF = $A418, 'SM Repository'!BO:BO &lt;&gt; """"), ""x"")"),3.0)</f>
        <v>3</v>
      </c>
    </row>
    <row r="419">
      <c r="A419" s="172">
        <f t="shared" si="42"/>
        <v>2003</v>
      </c>
      <c r="B419" s="61">
        <f>IFERROR(__xludf.DUMMYFUNCTION("COUNTIF(FILTER('SM Repository'!BM:BM, 'SM Repository'!AF:AF = $A419, 'SM Repository'!BM:BM &lt;&gt; """"), ""x"")"),0.0)</f>
        <v>0</v>
      </c>
      <c r="C419" s="61">
        <f>IFERROR(__xludf.DUMMYFUNCTION("COUNTIF(FILTER('SM Repository'!BN:BN, 'SM Repository'!AF:AF = $A419, 'SM Repository'!BN:BN &lt;&gt; """"), ""x"")"),0.0)</f>
        <v>0</v>
      </c>
      <c r="D419" s="61">
        <f>IFERROR(__xludf.DUMMYFUNCTION("COUNTIF(FILTER('SM Repository'!BO:BO, 'SM Repository'!AF:AF = $A419, 'SM Repository'!BO:BO &lt;&gt; """"), ""x"")"),0.0)</f>
        <v>0</v>
      </c>
    </row>
    <row r="420">
      <c r="A420" s="172">
        <f t="shared" si="42"/>
        <v>2004</v>
      </c>
      <c r="B420" s="61">
        <f>IFERROR(__xludf.DUMMYFUNCTION("COUNTIF(FILTER('SM Repository'!BM:BM, 'SM Repository'!AF:AF = $A420, 'SM Repository'!BM:BM &lt;&gt; """"), ""x"")"),0.0)</f>
        <v>0</v>
      </c>
      <c r="C420" s="61">
        <f>IFERROR(__xludf.DUMMYFUNCTION("COUNTIF(FILTER('SM Repository'!BN:BN, 'SM Repository'!AF:AF = $A420, 'SM Repository'!BN:BN &lt;&gt; """"), ""x"")"),5.0)</f>
        <v>5</v>
      </c>
      <c r="D420" s="61">
        <f>IFERROR(__xludf.DUMMYFUNCTION("COUNTIF(FILTER('SM Repository'!BO:BO, 'SM Repository'!AF:AF = $A420, 'SM Repository'!BO:BO &lt;&gt; """"), ""x"")"),1.0)</f>
        <v>1</v>
      </c>
    </row>
    <row r="421">
      <c r="A421" s="172">
        <f t="shared" si="42"/>
        <v>2005</v>
      </c>
      <c r="B421" s="61">
        <f>IFERROR(__xludf.DUMMYFUNCTION("COUNTIF(FILTER('SM Repository'!BM:BM, 'SM Repository'!AF:AF = $A421, 'SM Repository'!BM:BM &lt;&gt; """"), ""x"")"),1.0)</f>
        <v>1</v>
      </c>
      <c r="C421" s="61">
        <f>IFERROR(__xludf.DUMMYFUNCTION("COUNTIF(FILTER('SM Repository'!BN:BN, 'SM Repository'!AF:AF = $A421, 'SM Repository'!BN:BN &lt;&gt; """"), ""x"")"),7.0)</f>
        <v>7</v>
      </c>
      <c r="D421" s="61">
        <f>IFERROR(__xludf.DUMMYFUNCTION("COUNTIF(FILTER('SM Repository'!BO:BO, 'SM Repository'!AF:AF = $A421, 'SM Repository'!BO:BO &lt;&gt; """"), ""x"")"),1.0)</f>
        <v>1</v>
      </c>
    </row>
    <row r="422">
      <c r="A422" s="172">
        <f t="shared" si="42"/>
        <v>2006</v>
      </c>
      <c r="B422" s="61">
        <f>IFERROR(__xludf.DUMMYFUNCTION("COUNTIF(FILTER('SM Repository'!BM:BM, 'SM Repository'!AF:AF = $A422, 'SM Repository'!BM:BM &lt;&gt; """"), ""x"")"),1.0)</f>
        <v>1</v>
      </c>
      <c r="C422" s="61">
        <f>IFERROR(__xludf.DUMMYFUNCTION("COUNTIF(FILTER('SM Repository'!BN:BN, 'SM Repository'!AF:AF = $A422, 'SM Repository'!BN:BN &lt;&gt; """"), ""x"")"),7.0)</f>
        <v>7</v>
      </c>
      <c r="D422" s="61">
        <f>IFERROR(__xludf.DUMMYFUNCTION("COUNTIF(FILTER('SM Repository'!BO:BO, 'SM Repository'!AF:AF = $A422, 'SM Repository'!BO:BO &lt;&gt; """"), ""x"")"),1.0)</f>
        <v>1</v>
      </c>
    </row>
    <row r="423">
      <c r="A423" s="172">
        <f t="shared" si="42"/>
        <v>2007</v>
      </c>
      <c r="B423" s="61">
        <f>IFERROR(__xludf.DUMMYFUNCTION("COUNTIF(FILTER('SM Repository'!BM:BM, 'SM Repository'!AF:AF = $A423, 'SM Repository'!BM:BM &lt;&gt; """"), ""x"")"),0.0)</f>
        <v>0</v>
      </c>
      <c r="C423" s="61">
        <f>IFERROR(__xludf.DUMMYFUNCTION("COUNTIF(FILTER('SM Repository'!BN:BN, 'SM Repository'!AF:AF = $A423, 'SM Repository'!BN:BN &lt;&gt; """"), ""x"")"),2.0)</f>
        <v>2</v>
      </c>
      <c r="D423" s="61">
        <f>IFERROR(__xludf.DUMMYFUNCTION("COUNTIF(FILTER('SM Repository'!BO:BO, 'SM Repository'!AF:AF = $A423, 'SM Repository'!BO:BO &lt;&gt; """"), ""x"")"),1.0)</f>
        <v>1</v>
      </c>
    </row>
    <row r="424">
      <c r="A424" s="172">
        <f t="shared" si="42"/>
        <v>2008</v>
      </c>
      <c r="B424" s="61">
        <f>IFERROR(__xludf.DUMMYFUNCTION("COUNTIF(FILTER('SM Repository'!BM:BM, 'SM Repository'!AF:AF = $A424, 'SM Repository'!BM:BM &lt;&gt; """"), ""x"")"),4.0)</f>
        <v>4</v>
      </c>
      <c r="C424" s="61">
        <f>IFERROR(__xludf.DUMMYFUNCTION("COUNTIF(FILTER('SM Repository'!BN:BN, 'SM Repository'!AF:AF = $A424, 'SM Repository'!BN:BN &lt;&gt; """"), ""x"")"),8.0)</f>
        <v>8</v>
      </c>
      <c r="D424" s="61">
        <f>IFERROR(__xludf.DUMMYFUNCTION("COUNTIF(FILTER('SM Repository'!BO:BO, 'SM Repository'!AF:AF = $A424, 'SM Repository'!BO:BO &lt;&gt; """"), ""x"")"),1.0)</f>
        <v>1</v>
      </c>
    </row>
    <row r="425">
      <c r="A425" s="172">
        <f t="shared" si="42"/>
        <v>2009</v>
      </c>
      <c r="B425" s="61">
        <f>IFERROR(__xludf.DUMMYFUNCTION("COUNTIF(FILTER('SM Repository'!BM:BM, 'SM Repository'!AF:AF = $A425, 'SM Repository'!BM:BM &lt;&gt; """"), ""x"")"),1.0)</f>
        <v>1</v>
      </c>
      <c r="C425" s="61">
        <f>IFERROR(__xludf.DUMMYFUNCTION("COUNTIF(FILTER('SM Repository'!BN:BN, 'SM Repository'!AF:AF = $A425, 'SM Repository'!BN:BN &lt;&gt; """"), ""x"")"),3.0)</f>
        <v>3</v>
      </c>
      <c r="D425" s="61">
        <f>IFERROR(__xludf.DUMMYFUNCTION("COUNTIF(FILTER('SM Repository'!BO:BO, 'SM Repository'!AF:AF = $A425, 'SM Repository'!BO:BO &lt;&gt; """"), ""x"")"),3.0)</f>
        <v>3</v>
      </c>
    </row>
    <row r="426">
      <c r="A426" s="172">
        <f t="shared" si="42"/>
        <v>2010</v>
      </c>
      <c r="B426" s="61">
        <f>IFERROR(__xludf.DUMMYFUNCTION("COUNTIF(FILTER('SM Repository'!BM:BM, 'SM Repository'!AF:AF = $A426, 'SM Repository'!BM:BM &lt;&gt; """"), ""x"")"),8.0)</f>
        <v>8</v>
      </c>
      <c r="C426" s="61">
        <f>IFERROR(__xludf.DUMMYFUNCTION("COUNTIF(FILTER('SM Repository'!BN:BN, 'SM Repository'!AF:AF = $A426, 'SM Repository'!BN:BN &lt;&gt; """"), ""x"")"),5.0)</f>
        <v>5</v>
      </c>
      <c r="D426" s="61">
        <f>IFERROR(__xludf.DUMMYFUNCTION("COUNTIF(FILTER('SM Repository'!BO:BO, 'SM Repository'!AF:AF = $A426, 'SM Repository'!BO:BO &lt;&gt; """"), ""x"")"),1.0)</f>
        <v>1</v>
      </c>
    </row>
    <row r="427">
      <c r="A427" s="172">
        <f t="shared" si="42"/>
        <v>2011</v>
      </c>
      <c r="B427" s="61">
        <f>IFERROR(__xludf.DUMMYFUNCTION("COUNTIF(FILTER('SM Repository'!BM:BM, 'SM Repository'!AF:AF = $A427, 'SM Repository'!BM:BM &lt;&gt; """"), ""x"")"),4.0)</f>
        <v>4</v>
      </c>
      <c r="C427" s="61">
        <f>IFERROR(__xludf.DUMMYFUNCTION("COUNTIF(FILTER('SM Repository'!BN:BN, 'SM Repository'!AF:AF = $A427, 'SM Repository'!BN:BN &lt;&gt; """"), ""x"")"),3.0)</f>
        <v>3</v>
      </c>
      <c r="D427" s="61">
        <f>IFERROR(__xludf.DUMMYFUNCTION("COUNTIF(FILTER('SM Repository'!BO:BO, 'SM Repository'!AF:AF = $A427, 'SM Repository'!BO:BO &lt;&gt; """"), ""x"")"),2.0)</f>
        <v>2</v>
      </c>
    </row>
    <row r="429">
      <c r="B429" s="61">
        <f t="shared" ref="B429:D429" si="43">sum(B417:B427)</f>
        <v>22</v>
      </c>
      <c r="C429" s="61">
        <f t="shared" si="43"/>
        <v>41</v>
      </c>
      <c r="D429" s="61">
        <f t="shared" si="43"/>
        <v>14</v>
      </c>
    </row>
    <row r="438">
      <c r="A438" s="26" t="s">
        <v>1291</v>
      </c>
    </row>
    <row r="439">
      <c r="A439" s="200" t="s">
        <v>115</v>
      </c>
      <c r="B439" s="183">
        <f>countif('SM Repository'!BQ:BQ, "x")</f>
        <v>39</v>
      </c>
    </row>
    <row r="440">
      <c r="A440" s="200" t="s">
        <v>116</v>
      </c>
      <c r="B440" s="183">
        <f>countif('SM Repository'!BR:BR, "x")</f>
        <v>19</v>
      </c>
    </row>
    <row r="441">
      <c r="A441" s="200" t="s">
        <v>1292</v>
      </c>
      <c r="B441" s="183">
        <f>countif('SM Repository'!BS:BS, "x")</f>
        <v>41</v>
      </c>
    </row>
    <row r="462">
      <c r="A462" s="201" t="s">
        <v>1293</v>
      </c>
      <c r="C462" s="201" t="s">
        <v>1294</v>
      </c>
      <c r="D462" s="202"/>
      <c r="E462" s="202"/>
      <c r="F462" s="203"/>
      <c r="G462" s="203"/>
      <c r="H462" s="203"/>
    </row>
    <row r="463">
      <c r="A463" s="60" t="s">
        <v>1295</v>
      </c>
      <c r="B463" s="183">
        <f>countif('SM Repository'!BT:BT, "x")</f>
        <v>37</v>
      </c>
      <c r="C463" s="108">
        <f t="shared" ref="C463:C470" si="44">100*B463/79</f>
        <v>46.83544304</v>
      </c>
    </row>
    <row r="464">
      <c r="A464" s="60" t="s">
        <v>1296</v>
      </c>
      <c r="B464" s="183">
        <f>countif('SM Repository'!BV:BV, "x")</f>
        <v>18</v>
      </c>
      <c r="C464" s="108">
        <f t="shared" si="44"/>
        <v>22.78481013</v>
      </c>
    </row>
    <row r="465">
      <c r="A465" s="60" t="s">
        <v>1297</v>
      </c>
      <c r="B465" s="183">
        <f>countif('SM Repository'!BX:BX, "x")</f>
        <v>15</v>
      </c>
      <c r="C465" s="108">
        <f t="shared" si="44"/>
        <v>18.98734177</v>
      </c>
    </row>
    <row r="466">
      <c r="A466" s="60" t="s">
        <v>1298</v>
      </c>
      <c r="B466" s="183">
        <f>countif('SM Repository'!BY:BY, "x")</f>
        <v>14</v>
      </c>
      <c r="C466" s="108">
        <f t="shared" si="44"/>
        <v>17.72151899</v>
      </c>
    </row>
    <row r="467">
      <c r="A467" s="60" t="s">
        <v>1299</v>
      </c>
      <c r="B467" s="183">
        <f>countif('SM Repository'!BZ:BZ, "x")</f>
        <v>7</v>
      </c>
      <c r="C467" s="108">
        <f t="shared" si="44"/>
        <v>8.860759494</v>
      </c>
    </row>
    <row r="468">
      <c r="A468" s="60" t="s">
        <v>1300</v>
      </c>
      <c r="B468" s="183">
        <f>countif('SM Repository'!BU:BU, "x")</f>
        <v>5</v>
      </c>
      <c r="C468" s="108">
        <f t="shared" si="44"/>
        <v>6.329113924</v>
      </c>
    </row>
    <row r="469">
      <c r="A469" s="60" t="s">
        <v>121</v>
      </c>
      <c r="B469" s="183">
        <f>countif('SM Repository'!BW:BW, "x")</f>
        <v>3</v>
      </c>
      <c r="C469" s="108">
        <f t="shared" si="44"/>
        <v>3.797468354</v>
      </c>
    </row>
    <row r="470">
      <c r="A470" s="60" t="s">
        <v>85</v>
      </c>
      <c r="B470" s="183">
        <f>countif('SM Repository'!CA:CA, "x")</f>
        <v>3</v>
      </c>
      <c r="C470" s="108">
        <f t="shared" si="44"/>
        <v>3.797468354</v>
      </c>
    </row>
    <row r="487">
      <c r="A487" s="80" t="s">
        <v>1301</v>
      </c>
    </row>
    <row r="488">
      <c r="A488" s="77" t="s">
        <v>125</v>
      </c>
      <c r="B488" s="77" t="s">
        <v>126</v>
      </c>
      <c r="C488" s="78" t="s">
        <v>127</v>
      </c>
      <c r="D488" s="78" t="s">
        <v>128</v>
      </c>
      <c r="E488" s="77" t="s">
        <v>129</v>
      </c>
      <c r="F488" s="77" t="s">
        <v>130</v>
      </c>
      <c r="G488" s="77" t="s">
        <v>131</v>
      </c>
      <c r="H488" s="77" t="s">
        <v>132</v>
      </c>
      <c r="I488" s="77" t="s">
        <v>133</v>
      </c>
      <c r="J488" s="77" t="s">
        <v>134</v>
      </c>
      <c r="K488" s="77" t="s">
        <v>85</v>
      </c>
    </row>
    <row r="490">
      <c r="A490" s="27" t="s">
        <v>13</v>
      </c>
      <c r="B490" s="204"/>
      <c r="C490" s="27" t="s">
        <v>1294</v>
      </c>
      <c r="D490" s="204"/>
      <c r="E490" s="204"/>
      <c r="F490" s="204"/>
      <c r="G490" s="204"/>
      <c r="H490" s="74"/>
      <c r="I490" s="74"/>
    </row>
    <row r="491">
      <c r="A491" s="78" t="s">
        <v>1302</v>
      </c>
      <c r="B491" s="183">
        <f>countif('SLR Repository'!CX:CX, "x")</f>
        <v>28</v>
      </c>
      <c r="C491" s="108">
        <f t="shared" ref="C491:C501" si="45">100*B491/79</f>
        <v>35.44303797</v>
      </c>
    </row>
    <row r="492">
      <c r="A492" s="77" t="s">
        <v>134</v>
      </c>
      <c r="B492" s="183">
        <f>countif('SLR Repository'!DE:DE, "x")</f>
        <v>26</v>
      </c>
      <c r="C492" s="108">
        <f t="shared" si="45"/>
        <v>32.91139241</v>
      </c>
    </row>
    <row r="493">
      <c r="A493" s="78" t="s">
        <v>1303</v>
      </c>
      <c r="B493" s="183">
        <f>countif('SLR Repository'!CY:CY, "x")</f>
        <v>18</v>
      </c>
      <c r="C493" s="108">
        <f t="shared" si="45"/>
        <v>22.78481013</v>
      </c>
    </row>
    <row r="494">
      <c r="A494" s="77" t="s">
        <v>129</v>
      </c>
      <c r="B494" s="183">
        <f>countif('SLR Repository'!CZ:CZ, "x")</f>
        <v>17</v>
      </c>
      <c r="C494" s="108">
        <f t="shared" si="45"/>
        <v>21.51898734</v>
      </c>
    </row>
    <row r="495">
      <c r="A495" s="77" t="s">
        <v>1304</v>
      </c>
      <c r="B495" s="183">
        <f>countif('SLR Repository'!CV:CV, "x")</f>
        <v>9</v>
      </c>
      <c r="C495" s="108">
        <f t="shared" si="45"/>
        <v>11.39240506</v>
      </c>
    </row>
    <row r="496">
      <c r="A496" s="77" t="s">
        <v>133</v>
      </c>
      <c r="B496" s="183">
        <f>countif('SLR Repository'!DD:DD, "x")</f>
        <v>9</v>
      </c>
      <c r="C496" s="108">
        <f t="shared" si="45"/>
        <v>11.39240506</v>
      </c>
    </row>
    <row r="497">
      <c r="A497" s="77" t="s">
        <v>131</v>
      </c>
      <c r="B497" s="183">
        <f>countif('SLR Repository'!DB:DB, "x")</f>
        <v>9</v>
      </c>
      <c r="C497" s="108">
        <f t="shared" si="45"/>
        <v>11.39240506</v>
      </c>
    </row>
    <row r="498">
      <c r="A498" s="77" t="s">
        <v>130</v>
      </c>
      <c r="B498" s="183">
        <f>countif('SLR Repository'!DA:DA, "x")</f>
        <v>3</v>
      </c>
      <c r="C498" s="108">
        <f t="shared" si="45"/>
        <v>3.797468354</v>
      </c>
    </row>
    <row r="499">
      <c r="A499" s="77" t="s">
        <v>1305</v>
      </c>
      <c r="B499" s="183">
        <f>countif('SLR Repository'!DC:DC, "x")</f>
        <v>3</v>
      </c>
      <c r="C499" s="108">
        <f t="shared" si="45"/>
        <v>3.797468354</v>
      </c>
    </row>
    <row r="500">
      <c r="A500" s="77" t="s">
        <v>1306</v>
      </c>
      <c r="B500" s="183">
        <f>countif('SLR Repository'!CW:CW, "x")</f>
        <v>2</v>
      </c>
      <c r="C500" s="108">
        <f t="shared" si="45"/>
        <v>2.53164557</v>
      </c>
    </row>
    <row r="501">
      <c r="A501" s="77" t="s">
        <v>85</v>
      </c>
      <c r="B501" s="183">
        <f>countif('SLR Repository'!DF:DF, "x")</f>
        <v>11</v>
      </c>
      <c r="C501" s="108">
        <f t="shared" si="45"/>
        <v>13.92405063</v>
      </c>
    </row>
    <row r="520">
      <c r="A520" s="27" t="s">
        <v>13</v>
      </c>
      <c r="B520" s="64" t="s">
        <v>112</v>
      </c>
      <c r="C520" s="64" t="s">
        <v>113</v>
      </c>
      <c r="D520" s="80" t="s">
        <v>1307</v>
      </c>
    </row>
    <row r="521">
      <c r="A521" s="78" t="s">
        <v>1302</v>
      </c>
      <c r="B521" s="80">
        <v>8.0</v>
      </c>
      <c r="C521" s="61">
        <f t="shared" ref="C521:C531" si="46">D521-B521</f>
        <v>20</v>
      </c>
      <c r="D521" s="183">
        <f>countif('SLR Repository'!CX:CX, "x")</f>
        <v>28</v>
      </c>
    </row>
    <row r="522">
      <c r="A522" s="77" t="s">
        <v>134</v>
      </c>
      <c r="B522" s="80">
        <v>13.0</v>
      </c>
      <c r="C522" s="61">
        <f t="shared" si="46"/>
        <v>13</v>
      </c>
      <c r="D522" s="183">
        <f>countif('SLR Repository'!DE:DE, "x")</f>
        <v>26</v>
      </c>
    </row>
    <row r="523">
      <c r="A523" s="78" t="s">
        <v>1303</v>
      </c>
      <c r="B523" s="80">
        <v>11.0</v>
      </c>
      <c r="C523" s="61">
        <f t="shared" si="46"/>
        <v>7</v>
      </c>
      <c r="D523" s="183">
        <f>countif('SLR Repository'!CY:CY, "x")</f>
        <v>18</v>
      </c>
    </row>
    <row r="524">
      <c r="A524" s="77" t="s">
        <v>129</v>
      </c>
      <c r="B524" s="80">
        <v>0.0</v>
      </c>
      <c r="C524" s="61">
        <f t="shared" si="46"/>
        <v>17</v>
      </c>
      <c r="D524" s="183">
        <f>countif('SLR Repository'!CZ:CZ, "x")</f>
        <v>17</v>
      </c>
    </row>
    <row r="525">
      <c r="A525" s="77" t="s">
        <v>1304</v>
      </c>
      <c r="B525" s="80">
        <v>6.0</v>
      </c>
      <c r="C525" s="61">
        <f t="shared" si="46"/>
        <v>3</v>
      </c>
      <c r="D525" s="183">
        <f>countif('SLR Repository'!CV:CV, "x")</f>
        <v>9</v>
      </c>
    </row>
    <row r="526">
      <c r="A526" s="77" t="s">
        <v>133</v>
      </c>
      <c r="B526" s="80">
        <v>3.0</v>
      </c>
      <c r="C526" s="61">
        <f t="shared" si="46"/>
        <v>6</v>
      </c>
      <c r="D526" s="183">
        <f>countif('SLR Repository'!DD:DD, "x")</f>
        <v>9</v>
      </c>
    </row>
    <row r="527">
      <c r="A527" s="77" t="s">
        <v>131</v>
      </c>
      <c r="B527" s="80">
        <v>4.0</v>
      </c>
      <c r="C527" s="61">
        <f t="shared" si="46"/>
        <v>5</v>
      </c>
      <c r="D527" s="183">
        <f>countif('SLR Repository'!DB:DB, "x")</f>
        <v>9</v>
      </c>
    </row>
    <row r="528">
      <c r="A528" s="77" t="s">
        <v>130</v>
      </c>
      <c r="B528" s="80">
        <v>0.0</v>
      </c>
      <c r="C528" s="61">
        <f t="shared" si="46"/>
        <v>3</v>
      </c>
      <c r="D528" s="183">
        <f>countif('SLR Repository'!DA:DA, "x")</f>
        <v>3</v>
      </c>
    </row>
    <row r="529">
      <c r="A529" s="77" t="s">
        <v>1305</v>
      </c>
      <c r="B529" s="80">
        <v>2.0</v>
      </c>
      <c r="C529" s="61">
        <f t="shared" si="46"/>
        <v>1</v>
      </c>
      <c r="D529" s="183">
        <f>countif('SLR Repository'!DC:DC, "x")</f>
        <v>3</v>
      </c>
    </row>
    <row r="530">
      <c r="A530" s="77" t="s">
        <v>1306</v>
      </c>
      <c r="B530" s="80">
        <v>1.0</v>
      </c>
      <c r="C530" s="61">
        <f t="shared" si="46"/>
        <v>1</v>
      </c>
      <c r="D530" s="183">
        <f>countif('SLR Repository'!CW:CW, "x")</f>
        <v>2</v>
      </c>
    </row>
    <row r="531">
      <c r="A531" s="77" t="s">
        <v>85</v>
      </c>
      <c r="B531" s="80">
        <v>4.0</v>
      </c>
      <c r="C531" s="61">
        <f t="shared" si="46"/>
        <v>7</v>
      </c>
      <c r="D531" s="183">
        <f>countif('SLR Repository'!DF:DF, "x")</f>
        <v>11</v>
      </c>
    </row>
    <row r="543">
      <c r="B543" s="61">
        <f>'SLR Repository'!FR98</f>
        <v>76</v>
      </c>
      <c r="C543" s="61">
        <f>'SLR Repository'!FS98</f>
        <v>19</v>
      </c>
    </row>
    <row r="544">
      <c r="A544" s="27" t="s">
        <v>13</v>
      </c>
      <c r="B544" s="77" t="s">
        <v>184</v>
      </c>
      <c r="C544" s="77" t="s">
        <v>185</v>
      </c>
      <c r="F544" s="80" t="s">
        <v>1307</v>
      </c>
    </row>
    <row r="545">
      <c r="A545" s="78" t="s">
        <v>1302</v>
      </c>
      <c r="B545" s="61">
        <f t="shared" ref="B545:B555" si="47">F545-C545</f>
        <v>25</v>
      </c>
      <c r="C545" s="80">
        <v>3.0</v>
      </c>
      <c r="F545" s="183">
        <f>countif('SLR Repository'!CX:CX, "x")</f>
        <v>28</v>
      </c>
    </row>
    <row r="546">
      <c r="A546" s="77" t="s">
        <v>134</v>
      </c>
      <c r="B546" s="61">
        <f t="shared" si="47"/>
        <v>25</v>
      </c>
      <c r="C546" s="80">
        <v>1.0</v>
      </c>
      <c r="F546" s="183">
        <f>countif('SLR Repository'!DE:DE, "x")</f>
        <v>26</v>
      </c>
    </row>
    <row r="547">
      <c r="A547" s="78" t="s">
        <v>1303</v>
      </c>
      <c r="B547" s="61">
        <f t="shared" si="47"/>
        <v>13</v>
      </c>
      <c r="C547" s="80">
        <v>5.0</v>
      </c>
      <c r="F547" s="183">
        <f>countif('SLR Repository'!CY:CY, "x")</f>
        <v>18</v>
      </c>
    </row>
    <row r="548">
      <c r="A548" s="77" t="s">
        <v>129</v>
      </c>
      <c r="B548" s="61">
        <f t="shared" si="47"/>
        <v>7</v>
      </c>
      <c r="C548" s="80">
        <v>10.0</v>
      </c>
      <c r="F548" s="183">
        <f>countif('SLR Repository'!CZ:CZ, "x")</f>
        <v>17</v>
      </c>
    </row>
    <row r="549">
      <c r="A549" s="77" t="s">
        <v>1304</v>
      </c>
      <c r="B549" s="61">
        <f t="shared" si="47"/>
        <v>6</v>
      </c>
      <c r="C549" s="80">
        <v>3.0</v>
      </c>
      <c r="F549" s="183">
        <f>countif('SLR Repository'!CV:CV, "x")</f>
        <v>9</v>
      </c>
    </row>
    <row r="550">
      <c r="A550" s="77" t="s">
        <v>133</v>
      </c>
      <c r="B550" s="61">
        <f t="shared" si="47"/>
        <v>8</v>
      </c>
      <c r="C550" s="80">
        <v>1.0</v>
      </c>
      <c r="F550" s="183">
        <f>countif('SLR Repository'!DD:DD, "x")</f>
        <v>9</v>
      </c>
    </row>
    <row r="551">
      <c r="A551" s="77" t="s">
        <v>131</v>
      </c>
      <c r="B551" s="61">
        <f t="shared" si="47"/>
        <v>8</v>
      </c>
      <c r="C551" s="80">
        <v>1.0</v>
      </c>
      <c r="F551" s="183">
        <f>countif('SLR Repository'!DB:DB, "x")</f>
        <v>9</v>
      </c>
    </row>
    <row r="552">
      <c r="A552" s="77" t="s">
        <v>130</v>
      </c>
      <c r="B552" s="61">
        <f t="shared" si="47"/>
        <v>3</v>
      </c>
      <c r="C552" s="80">
        <v>0.0</v>
      </c>
      <c r="F552" s="183">
        <f>countif('SLR Repository'!DA:DA, "x")</f>
        <v>3</v>
      </c>
    </row>
    <row r="553">
      <c r="A553" s="77" t="s">
        <v>1305</v>
      </c>
      <c r="B553" s="61">
        <f t="shared" si="47"/>
        <v>1</v>
      </c>
      <c r="C553" s="80">
        <v>2.0</v>
      </c>
      <c r="F553" s="183">
        <f>countif('SLR Repository'!DC:DC, "x")</f>
        <v>3</v>
      </c>
    </row>
    <row r="554">
      <c r="A554" s="77" t="s">
        <v>1306</v>
      </c>
      <c r="B554" s="61">
        <f t="shared" si="47"/>
        <v>2</v>
      </c>
      <c r="C554" s="80">
        <v>0.0</v>
      </c>
      <c r="F554" s="183">
        <f>countif('SLR Repository'!CW:CW, "x")</f>
        <v>2</v>
      </c>
    </row>
    <row r="555">
      <c r="A555" s="77" t="s">
        <v>85</v>
      </c>
      <c r="B555" s="61">
        <f t="shared" si="47"/>
        <v>10</v>
      </c>
      <c r="C555" s="80">
        <v>1.0</v>
      </c>
      <c r="F555" s="183">
        <f>countif('SLR Repository'!DF:DF, "x")</f>
        <v>11</v>
      </c>
    </row>
    <row r="558">
      <c r="B558" s="77" t="s">
        <v>184</v>
      </c>
      <c r="C558" s="77" t="s">
        <v>185</v>
      </c>
    </row>
    <row r="559">
      <c r="B559" s="205">
        <f t="shared" ref="B559:B569" si="48">B545/76</f>
        <v>0.3289473684</v>
      </c>
      <c r="C559" s="205">
        <f t="shared" ref="C559:C569" si="49">C545/19</f>
        <v>0.1578947368</v>
      </c>
    </row>
    <row r="560">
      <c r="B560" s="205">
        <f t="shared" si="48"/>
        <v>0.3289473684</v>
      </c>
      <c r="C560" s="205">
        <f t="shared" si="49"/>
        <v>0.05263157895</v>
      </c>
    </row>
    <row r="561">
      <c r="B561" s="205">
        <f t="shared" si="48"/>
        <v>0.1710526316</v>
      </c>
      <c r="C561" s="205">
        <f t="shared" si="49"/>
        <v>0.2631578947</v>
      </c>
    </row>
    <row r="562">
      <c r="B562" s="205">
        <f t="shared" si="48"/>
        <v>0.09210526316</v>
      </c>
      <c r="C562" s="205">
        <f t="shared" si="49"/>
        <v>0.5263157895</v>
      </c>
    </row>
    <row r="563">
      <c r="B563" s="205">
        <f t="shared" si="48"/>
        <v>0.07894736842</v>
      </c>
      <c r="C563" s="205">
        <f t="shared" si="49"/>
        <v>0.1578947368</v>
      </c>
    </row>
    <row r="564">
      <c r="B564" s="205">
        <f t="shared" si="48"/>
        <v>0.1052631579</v>
      </c>
      <c r="C564" s="205">
        <f t="shared" si="49"/>
        <v>0.05263157895</v>
      </c>
    </row>
    <row r="565">
      <c r="B565" s="205">
        <f t="shared" si="48"/>
        <v>0.1052631579</v>
      </c>
      <c r="C565" s="205">
        <f t="shared" si="49"/>
        <v>0.05263157895</v>
      </c>
    </row>
    <row r="566">
      <c r="B566" s="205">
        <f t="shared" si="48"/>
        <v>0.03947368421</v>
      </c>
      <c r="C566" s="205">
        <f t="shared" si="49"/>
        <v>0</v>
      </c>
    </row>
    <row r="567">
      <c r="B567" s="205">
        <f t="shared" si="48"/>
        <v>0.01315789474</v>
      </c>
      <c r="C567" s="205">
        <f t="shared" si="49"/>
        <v>0.1052631579</v>
      </c>
    </row>
    <row r="568">
      <c r="B568" s="205">
        <f t="shared" si="48"/>
        <v>0.02631578947</v>
      </c>
      <c r="C568" s="205">
        <f t="shared" si="49"/>
        <v>0</v>
      </c>
    </row>
    <row r="569">
      <c r="B569" s="205">
        <f t="shared" si="48"/>
        <v>0.1315789474</v>
      </c>
      <c r="C569" s="205">
        <f t="shared" si="49"/>
        <v>0.05263157895</v>
      </c>
    </row>
    <row r="581">
      <c r="A581" s="68" t="s">
        <v>1308</v>
      </c>
      <c r="B581" s="68" t="s">
        <v>95</v>
      </c>
      <c r="C581" s="68" t="s">
        <v>1309</v>
      </c>
      <c r="D581" s="68" t="s">
        <v>85</v>
      </c>
    </row>
    <row r="582">
      <c r="A582" s="61">
        <f>'SLR Repository'!BJ98</f>
        <v>22</v>
      </c>
      <c r="B582" s="61">
        <f>'SLR Repository'!BL98</f>
        <v>7</v>
      </c>
      <c r="C582" s="61">
        <f>'SLR Repository'!BK98</f>
        <v>5</v>
      </c>
      <c r="D582" s="61">
        <f>'SLR Repository'!BM98</f>
        <v>10</v>
      </c>
    </row>
    <row r="585">
      <c r="B585" s="61" t="str">
        <f>'SLR Repository'!BK101</f>
        <v/>
      </c>
    </row>
    <row r="613">
      <c r="A613" s="206" t="s">
        <v>1310</v>
      </c>
    </row>
    <row r="614">
      <c r="A614" s="56" t="s">
        <v>135</v>
      </c>
      <c r="B614" s="183">
        <f>countif('SM Repository'!CN:CN, "x")</f>
        <v>39</v>
      </c>
    </row>
    <row r="615">
      <c r="A615" s="56" t="s">
        <v>1311</v>
      </c>
      <c r="B615" s="183">
        <f>countif('SM Repository'!CO:CO, "x")</f>
        <v>19</v>
      </c>
    </row>
    <row r="616">
      <c r="A616" s="56" t="s">
        <v>1312</v>
      </c>
      <c r="B616" s="183">
        <f>countif('SM Repository'!CP:CP, "x")</f>
        <v>17</v>
      </c>
    </row>
    <row r="617">
      <c r="A617" s="56" t="s">
        <v>138</v>
      </c>
      <c r="B617" s="183">
        <f>countif('SM Repository'!CQ:CQ, "x")</f>
        <v>12</v>
      </c>
    </row>
    <row r="618">
      <c r="A618" s="56" t="s">
        <v>85</v>
      </c>
      <c r="B618" s="183">
        <f>countif('SM Repository'!CR:CR, "x")</f>
        <v>13</v>
      </c>
    </row>
    <row r="630">
      <c r="A630" s="57" t="s">
        <v>15</v>
      </c>
    </row>
    <row r="631">
      <c r="A631" s="57" t="s">
        <v>139</v>
      </c>
      <c r="B631" s="183">
        <f>countif('SM Repository'!CT:CT, "x")</f>
        <v>27</v>
      </c>
    </row>
    <row r="632">
      <c r="A632" s="57" t="s">
        <v>140</v>
      </c>
      <c r="B632" s="183">
        <f>countif('SM Repository'!CU:CU, "x")</f>
        <v>69</v>
      </c>
    </row>
    <row r="635">
      <c r="B635" s="80" t="s">
        <v>1313</v>
      </c>
    </row>
    <row r="652">
      <c r="A652" s="76" t="s">
        <v>1314</v>
      </c>
    </row>
    <row r="653">
      <c r="A653" s="60" t="s">
        <v>1315</v>
      </c>
      <c r="B653" s="183">
        <f>countif('SM Repository'!CY:CY, "x")</f>
        <v>28</v>
      </c>
    </row>
    <row r="654">
      <c r="A654" s="60" t="s">
        <v>161</v>
      </c>
      <c r="B654" s="183">
        <f>countif('SM Repository'!DA:DA, "x")</f>
        <v>25</v>
      </c>
    </row>
    <row r="655">
      <c r="A655" s="60" t="s">
        <v>1316</v>
      </c>
      <c r="B655" s="183">
        <f>countif('SM Repository'!CZ:CZ, "x")</f>
        <v>24</v>
      </c>
    </row>
    <row r="656">
      <c r="A656" s="60" t="s">
        <v>147</v>
      </c>
      <c r="B656" s="183">
        <f>countif('SM Repository'!DC:DC, "x")</f>
        <v>11</v>
      </c>
    </row>
    <row r="657">
      <c r="A657" s="60" t="s">
        <v>1317</v>
      </c>
      <c r="B657" s="183">
        <f>countif('SM Repository'!DB:DB, "x")</f>
        <v>8</v>
      </c>
    </row>
    <row r="658">
      <c r="A658" s="60" t="s">
        <v>1318</v>
      </c>
      <c r="B658" s="183">
        <f>countif('SM Repository'!DD:DD, "x")</f>
        <v>5</v>
      </c>
    </row>
    <row r="659">
      <c r="A659" s="60" t="s">
        <v>85</v>
      </c>
      <c r="B659" s="183">
        <f>countif('SM Repository'!DE:DE, "x")</f>
        <v>1</v>
      </c>
    </row>
    <row r="668">
      <c r="A668" s="85" t="s">
        <v>27</v>
      </c>
    </row>
    <row r="669">
      <c r="A669" s="85" t="s">
        <v>182</v>
      </c>
      <c r="B669" s="183">
        <f>countif('SM Repository'!DF:DF, "x")</f>
        <v>4</v>
      </c>
    </row>
    <row r="670">
      <c r="A670" s="85" t="s">
        <v>183</v>
      </c>
      <c r="B670" s="183">
        <f>countif('SM Repository'!DG:DG, "x")</f>
        <v>75</v>
      </c>
    </row>
    <row r="674">
      <c r="A674" s="77" t="s">
        <v>28</v>
      </c>
    </row>
    <row r="675">
      <c r="A675" s="77" t="s">
        <v>184</v>
      </c>
      <c r="B675" s="183">
        <f>countif('SM Repository'!DI:DI, "x")</f>
        <v>66</v>
      </c>
    </row>
    <row r="676">
      <c r="A676" s="77" t="s">
        <v>1319</v>
      </c>
      <c r="B676" s="183">
        <f>countif('SM Repository'!DJ:DJ, "x")</f>
        <v>13</v>
      </c>
    </row>
    <row r="678">
      <c r="B678" s="77" t="s">
        <v>184</v>
      </c>
      <c r="C678" s="77" t="s">
        <v>185</v>
      </c>
    </row>
    <row r="679">
      <c r="A679" s="171">
        <v>2001.0</v>
      </c>
      <c r="B679" s="61">
        <f>IFERROR(__xludf.DUMMYFUNCTION("COUNTIF(FILTER('SM Repository'!DI:DI, 'SM Repository'!AF:AF = $A679, 'SM Repository'!DI:DI &lt;&gt; """"), ""x"")"),2.0)</f>
        <v>2</v>
      </c>
      <c r="C679" s="61">
        <f>IFERROR(__xludf.DUMMYFUNCTION("COUNTIF(FILTER('SM Repository'!DJ:DJ, 'SM Repository'!AF:AF = $A679, 'SM Repository'!DJ:DJ &lt;&gt; """"), ""x"")"),0.0)</f>
        <v>0</v>
      </c>
    </row>
    <row r="680">
      <c r="A680" s="172">
        <f t="shared" ref="A680:A689" si="50">A679+1</f>
        <v>2002</v>
      </c>
      <c r="B680" s="61">
        <f>IFERROR(__xludf.DUMMYFUNCTION("COUNTIF(FILTER('SM Repository'!DI:DI, 'SM Repository'!AF:AF = $A680, 'SM Repository'!DI:DI &lt;&gt; """"), ""x"")"),5.0)</f>
        <v>5</v>
      </c>
      <c r="C680" s="61">
        <f>IFERROR(__xludf.DUMMYFUNCTION("COUNTIF(FILTER('SM Repository'!DJ:DJ, 'SM Repository'!AF:AF = $A680, 'SM Repository'!DJ:DJ &lt;&gt; """"), ""x"")"),0.0)</f>
        <v>0</v>
      </c>
    </row>
    <row r="681">
      <c r="A681" s="172">
        <f t="shared" si="50"/>
        <v>2003</v>
      </c>
      <c r="B681" s="61">
        <f>IFERROR(__xludf.DUMMYFUNCTION("COUNTIF(FILTER('SM Repository'!DI:DI, 'SM Repository'!AF:AF = $A681, 'SM Repository'!DI:DI &lt;&gt; """"), ""x"")"),0.0)</f>
        <v>0</v>
      </c>
      <c r="C681" s="61">
        <f>IFERROR(__xludf.DUMMYFUNCTION("COUNTIF(FILTER('SM Repository'!DJ:DJ, 'SM Repository'!AF:AF = $A681, 'SM Repository'!DJ:DJ &lt;&gt; """"), ""x"")"),0.0)</f>
        <v>0</v>
      </c>
    </row>
    <row r="682">
      <c r="A682" s="172">
        <f t="shared" si="50"/>
        <v>2004</v>
      </c>
      <c r="B682" s="61">
        <f>IFERROR(__xludf.DUMMYFUNCTION("COUNTIF(FILTER('SM Repository'!DI:DI, 'SM Repository'!AF:AF = $A682, 'SM Repository'!DI:DI &lt;&gt; """"), ""x"")"),6.0)</f>
        <v>6</v>
      </c>
      <c r="C682" s="61">
        <f>IFERROR(__xludf.DUMMYFUNCTION("COUNTIF(FILTER('SM Repository'!DJ:DJ, 'SM Repository'!AF:AF = $A682, 'SM Repository'!DJ:DJ &lt;&gt; """"), ""x"")"),0.0)</f>
        <v>0</v>
      </c>
    </row>
    <row r="683">
      <c r="A683" s="172">
        <f t="shared" si="50"/>
        <v>2005</v>
      </c>
      <c r="B683" s="61">
        <f>IFERROR(__xludf.DUMMYFUNCTION("COUNTIF(FILTER('SM Repository'!DI:DI, 'SM Repository'!AF:AF = $A683, 'SM Repository'!DI:DI &lt;&gt; """"), ""x"")"),10.0)</f>
        <v>10</v>
      </c>
      <c r="C683" s="61">
        <f>IFERROR(__xludf.DUMMYFUNCTION("COUNTIF(FILTER('SM Repository'!DJ:DJ, 'SM Repository'!AF:AF = $A683, 'SM Repository'!DJ:DJ &lt;&gt; """"), ""x"")"),0.0)</f>
        <v>0</v>
      </c>
    </row>
    <row r="684">
      <c r="A684" s="172">
        <f t="shared" si="50"/>
        <v>2006</v>
      </c>
      <c r="B684" s="61">
        <f>IFERROR(__xludf.DUMMYFUNCTION("COUNTIF(FILTER('SM Repository'!DI:DI, 'SM Repository'!AF:AF = $A684, 'SM Repository'!DI:DI &lt;&gt; """"), ""x"")"),9.0)</f>
        <v>9</v>
      </c>
      <c r="C684" s="61">
        <f>IFERROR(__xludf.DUMMYFUNCTION("COUNTIF(FILTER('SM Repository'!DJ:DJ, 'SM Repository'!AF:AF = $A684, 'SM Repository'!DJ:DJ &lt;&gt; """"), ""x"")"),1.0)</f>
        <v>1</v>
      </c>
    </row>
    <row r="685">
      <c r="A685" s="172">
        <f t="shared" si="50"/>
        <v>2007</v>
      </c>
      <c r="B685" s="61">
        <f>IFERROR(__xludf.DUMMYFUNCTION("COUNTIF(FILTER('SM Repository'!DI:DI, 'SM Repository'!AF:AF = $A685, 'SM Repository'!DI:DI &lt;&gt; """"), ""x"")"),3.0)</f>
        <v>3</v>
      </c>
      <c r="C685" s="61">
        <f>IFERROR(__xludf.DUMMYFUNCTION("COUNTIF(FILTER('SM Repository'!DJ:DJ, 'SM Repository'!AF:AF = $A685, 'SM Repository'!DJ:DJ &lt;&gt; """"), ""x"")"),0.0)</f>
        <v>0</v>
      </c>
    </row>
    <row r="686">
      <c r="A686" s="172">
        <f t="shared" si="50"/>
        <v>2008</v>
      </c>
      <c r="B686" s="61">
        <f>IFERROR(__xludf.DUMMYFUNCTION("COUNTIF(FILTER('SM Repository'!DI:DI, 'SM Repository'!AF:AF = $A686, 'SM Repository'!DI:DI &lt;&gt; """"), ""x"")"),11.0)</f>
        <v>11</v>
      </c>
      <c r="C686" s="61">
        <f>IFERROR(__xludf.DUMMYFUNCTION("COUNTIF(FILTER('SM Repository'!DJ:DJ, 'SM Repository'!AF:AF = $A686, 'SM Repository'!DJ:DJ &lt;&gt; """"), ""x"")"),2.0)</f>
        <v>2</v>
      </c>
    </row>
    <row r="687">
      <c r="A687" s="172">
        <f t="shared" si="50"/>
        <v>2009</v>
      </c>
      <c r="B687" s="61">
        <f>IFERROR(__xludf.DUMMYFUNCTION("COUNTIF(FILTER('SM Repository'!DI:DI, 'SM Repository'!AF:AF = $A687, 'SM Repository'!DI:DI &lt;&gt; """"), ""x"")"),6.0)</f>
        <v>6</v>
      </c>
      <c r="C687" s="61">
        <f>IFERROR(__xludf.DUMMYFUNCTION("COUNTIF(FILTER('SM Repository'!DJ:DJ, 'SM Repository'!AF:AF = $A687, 'SM Repository'!DJ:DJ &lt;&gt; """"), ""x"")"),1.0)</f>
        <v>1</v>
      </c>
    </row>
    <row r="688">
      <c r="A688" s="172">
        <f t="shared" si="50"/>
        <v>2010</v>
      </c>
      <c r="B688" s="61">
        <f>IFERROR(__xludf.DUMMYFUNCTION("COUNTIF(FILTER('SM Repository'!DI:DI, 'SM Repository'!AF:AF = $A688, 'SM Repository'!DI:DI &lt;&gt; """"), ""x"")"),9.0)</f>
        <v>9</v>
      </c>
      <c r="C688" s="61">
        <f>IFERROR(__xludf.DUMMYFUNCTION("COUNTIF(FILTER('SM Repository'!DJ:DJ, 'SM Repository'!AF:AF = $A688, 'SM Repository'!DJ:DJ &lt;&gt; """"), ""x"")"),5.0)</f>
        <v>5</v>
      </c>
    </row>
    <row r="689">
      <c r="A689" s="172">
        <f t="shared" si="50"/>
        <v>2011</v>
      </c>
      <c r="B689" s="61">
        <f>IFERROR(__xludf.DUMMYFUNCTION("COUNTIF(FILTER('SM Repository'!DI:DI, 'SM Repository'!AF:AF = $A689, 'SM Repository'!DI:DI &lt;&gt; """"), ""x"")"),5.0)</f>
        <v>5</v>
      </c>
      <c r="C689" s="61">
        <f>IFERROR(__xludf.DUMMYFUNCTION("COUNTIF(FILTER('SM Repository'!DJ:DJ, 'SM Repository'!AF:AF = $A689, 'SM Repository'!DJ:DJ &lt;&gt; """"), ""x"")"),4.0)</f>
        <v>4</v>
      </c>
    </row>
    <row r="690">
      <c r="A690" s="193" t="s">
        <v>1262</v>
      </c>
    </row>
    <row r="692">
      <c r="A692" s="39" t="s">
        <v>27</v>
      </c>
    </row>
    <row r="693">
      <c r="B693" s="85" t="s">
        <v>182</v>
      </c>
      <c r="C693" s="85" t="s">
        <v>183</v>
      </c>
    </row>
    <row r="694">
      <c r="A694" s="171">
        <v>2001.0</v>
      </c>
      <c r="B694" s="61">
        <f>IFERROR(__xludf.DUMMYFUNCTION("COUNTIF(FILTER('SM Repository'!DF:DF, 'SM Repository'!AF:AF = $A694, 'SM Repository'!DF:DF &lt;&gt; """"), ""x"")"),1.0)</f>
        <v>1</v>
      </c>
      <c r="C694" s="61">
        <f>IFERROR(__xludf.DUMMYFUNCTION("COUNTIF(FILTER('SM Repository'!DG:DG, 'SM Repository'!AF:AF = $A694, 'SM Repository'!DG:DG &lt;&gt; """"), ""x"")"),1.0)</f>
        <v>1</v>
      </c>
    </row>
    <row r="695">
      <c r="A695" s="172">
        <f t="shared" ref="A695:A704" si="51">A694+1</f>
        <v>2002</v>
      </c>
      <c r="B695" s="61">
        <f>IFERROR(__xludf.DUMMYFUNCTION("COUNTIF(FILTER('SM Repository'!DF:DF, 'SM Repository'!AF:AF = $A695, 'SM Repository'!DF:DF &lt;&gt; """"), ""x"")"),0.0)</f>
        <v>0</v>
      </c>
      <c r="C695" s="61">
        <f>IFERROR(__xludf.DUMMYFUNCTION("COUNTIF(FILTER('SM Repository'!DG:DG, 'SM Repository'!AF:AF = $A695, 'SM Repository'!DG:DG &lt;&gt; """"), ""x"")"),5.0)</f>
        <v>5</v>
      </c>
    </row>
    <row r="696">
      <c r="A696" s="172">
        <f t="shared" si="51"/>
        <v>2003</v>
      </c>
      <c r="B696" s="61">
        <f>IFERROR(__xludf.DUMMYFUNCTION("COUNTIF(FILTER('SM Repository'!DF:DF, 'SM Repository'!AF:AF = $A696, 'SM Repository'!DF:DF &lt;&gt; """"), ""x"")"),0.0)</f>
        <v>0</v>
      </c>
      <c r="C696" s="61">
        <f>IFERROR(__xludf.DUMMYFUNCTION("COUNTIF(FILTER('SM Repository'!DG:DG, 'SM Repository'!AF:AF = $A696, 'SM Repository'!DG:DG &lt;&gt; """"), ""x"")"),0.0)</f>
        <v>0</v>
      </c>
    </row>
    <row r="697">
      <c r="A697" s="172">
        <f t="shared" si="51"/>
        <v>2004</v>
      </c>
      <c r="B697" s="61">
        <f>IFERROR(__xludf.DUMMYFUNCTION("COUNTIF(FILTER('SM Repository'!DF:DF, 'SM Repository'!AF:AF = $A697, 'SM Repository'!DF:DF &lt;&gt; """"), ""x"")"),0.0)</f>
        <v>0</v>
      </c>
      <c r="C697" s="61">
        <f>IFERROR(__xludf.DUMMYFUNCTION("COUNTIF(FILTER('SM Repository'!DG:DG, 'SM Repository'!AF:AF = $A697, 'SM Repository'!DG:DG &lt;&gt; """"), ""x"")"),6.0)</f>
        <v>6</v>
      </c>
    </row>
    <row r="698">
      <c r="A698" s="172">
        <f t="shared" si="51"/>
        <v>2005</v>
      </c>
      <c r="B698" s="61">
        <f>IFERROR(__xludf.DUMMYFUNCTION("COUNTIF(FILTER('SM Repository'!DF:DF, 'SM Repository'!AF:AF = $A698, 'SM Repository'!DF:DF &lt;&gt; """"), ""x"")"),0.0)</f>
        <v>0</v>
      </c>
      <c r="C698" s="61">
        <f>IFERROR(__xludf.DUMMYFUNCTION("COUNTIF(FILTER('SM Repository'!DG:DG, 'SM Repository'!AF:AF = $A698, 'SM Repository'!DG:DG &lt;&gt; """"), ""x"")"),10.0)</f>
        <v>10</v>
      </c>
    </row>
    <row r="699">
      <c r="A699" s="172">
        <f t="shared" si="51"/>
        <v>2006</v>
      </c>
      <c r="B699" s="61">
        <f>IFERROR(__xludf.DUMMYFUNCTION("COUNTIF(FILTER('SM Repository'!DF:DF, 'SM Repository'!AF:AF = $A699, 'SM Repository'!DF:DF &lt;&gt; """"), ""x"")"),2.0)</f>
        <v>2</v>
      </c>
      <c r="C699" s="61">
        <f>IFERROR(__xludf.DUMMYFUNCTION("COUNTIF(FILTER('SM Repository'!DG:DG, 'SM Repository'!AF:AF = $A699, 'SM Repository'!DG:DG &lt;&gt; """"), ""x"")"),8.0)</f>
        <v>8</v>
      </c>
    </row>
    <row r="700">
      <c r="A700" s="172">
        <f t="shared" si="51"/>
        <v>2007</v>
      </c>
      <c r="B700" s="61">
        <f>IFERROR(__xludf.DUMMYFUNCTION("COUNTIF(FILTER('SM Repository'!DF:DF, 'SM Repository'!AF:AF = $A700, 'SM Repository'!DF:DF &lt;&gt; """"), ""x"")"),0.0)</f>
        <v>0</v>
      </c>
      <c r="C700" s="61">
        <f>IFERROR(__xludf.DUMMYFUNCTION("COUNTIF(FILTER('SM Repository'!DG:DG, 'SM Repository'!AF:AF = $A700, 'SM Repository'!DG:DG &lt;&gt; """"), ""x"")"),3.0)</f>
        <v>3</v>
      </c>
    </row>
    <row r="701">
      <c r="A701" s="172">
        <f t="shared" si="51"/>
        <v>2008</v>
      </c>
      <c r="B701" s="61">
        <f>IFERROR(__xludf.DUMMYFUNCTION("COUNTIF(FILTER('SM Repository'!DF:DF, 'SM Repository'!AF:AF = $A701, 'SM Repository'!DF:DF &lt;&gt; """"), ""x"")"),1.0)</f>
        <v>1</v>
      </c>
      <c r="C701" s="61">
        <f>IFERROR(__xludf.DUMMYFUNCTION("COUNTIF(FILTER('SM Repository'!DG:DG, 'SM Repository'!AF:AF = $A701, 'SM Repository'!DG:DG &lt;&gt; """"), ""x"")"),12.0)</f>
        <v>12</v>
      </c>
    </row>
    <row r="702">
      <c r="A702" s="172">
        <f t="shared" si="51"/>
        <v>2009</v>
      </c>
      <c r="B702" s="61">
        <f>IFERROR(__xludf.DUMMYFUNCTION("COUNTIF(FILTER('SM Repository'!DF:DF, 'SM Repository'!AF:AF = $A702, 'SM Repository'!DF:DF &lt;&gt; """"), ""x"")"),0.0)</f>
        <v>0</v>
      </c>
      <c r="C702" s="61">
        <f>IFERROR(__xludf.DUMMYFUNCTION("COUNTIF(FILTER('SM Repository'!DG:DG, 'SM Repository'!AF:AF = $A702, 'SM Repository'!DG:DG &lt;&gt; """"), ""x"")"),7.0)</f>
        <v>7</v>
      </c>
    </row>
    <row r="703">
      <c r="A703" s="172">
        <f t="shared" si="51"/>
        <v>2010</v>
      </c>
      <c r="B703" s="61">
        <f>IFERROR(__xludf.DUMMYFUNCTION("COUNTIF(FILTER('SM Repository'!DF:DF, 'SM Repository'!AF:AF = $A703, 'SM Repository'!DF:DF &lt;&gt; """"), ""x"")"),0.0)</f>
        <v>0</v>
      </c>
      <c r="C703" s="61">
        <f>IFERROR(__xludf.DUMMYFUNCTION("COUNTIF(FILTER('SM Repository'!DG:DG, 'SM Repository'!AF:AF = $A703, 'SM Repository'!DG:DG &lt;&gt; """"), ""x"")"),14.0)</f>
        <v>14</v>
      </c>
    </row>
    <row r="704">
      <c r="A704" s="172">
        <f t="shared" si="51"/>
        <v>2011</v>
      </c>
      <c r="B704" s="61">
        <f>IFERROR(__xludf.DUMMYFUNCTION("COUNTIF(FILTER('SM Repository'!DF:DF, 'SM Repository'!AF:AF = $A704, 'SM Repository'!DF:DF &lt;&gt; """"), ""x"")"),0.0)</f>
        <v>0</v>
      </c>
      <c r="C704" s="61">
        <f>IFERROR(__xludf.DUMMYFUNCTION("COUNTIF(FILTER('SM Repository'!DG:DG, 'SM Repository'!AF:AF = $A704, 'SM Repository'!DG:DG &lt;&gt; """"), ""x"")"),9.0)</f>
        <v>9</v>
      </c>
    </row>
    <row r="727">
      <c r="A727" s="67" t="s">
        <v>1320</v>
      </c>
    </row>
    <row r="728">
      <c r="A728" s="86" t="s">
        <v>186</v>
      </c>
      <c r="B728" s="183">
        <f>countif('SLR Repository'!FW:FW, "x")</f>
        <v>39</v>
      </c>
    </row>
    <row r="729">
      <c r="A729" s="86" t="s">
        <v>188</v>
      </c>
      <c r="B729" s="183">
        <f>countif('SM Repository'!DO:DO, "x")</f>
        <v>24</v>
      </c>
    </row>
    <row r="730">
      <c r="A730" s="86" t="s">
        <v>187</v>
      </c>
      <c r="B730" s="183">
        <f>countif('SM Repository'!DN:DN, "x")</f>
        <v>14</v>
      </c>
    </row>
    <row r="731">
      <c r="A731" s="86" t="s">
        <v>85</v>
      </c>
      <c r="B731" s="183">
        <f>countif('SM Repository'!DR:DR, "x")</f>
        <v>1</v>
      </c>
    </row>
    <row r="732">
      <c r="A732" s="86" t="s">
        <v>190</v>
      </c>
      <c r="B732" s="183">
        <f>countif('SM Repository'!DQ:DQ, "x")</f>
        <v>9</v>
      </c>
    </row>
    <row r="733">
      <c r="A733" s="86" t="s">
        <v>189</v>
      </c>
      <c r="B733" s="183">
        <f>countif('SM Repository'!DP:DP, "x")</f>
        <v>23</v>
      </c>
    </row>
    <row r="735">
      <c r="A735" s="86" t="s">
        <v>1233</v>
      </c>
      <c r="B735" s="183">
        <f t="array" ref="B735">countif({}, "x")</f>
        <v>0</v>
      </c>
    </row>
    <row r="738">
      <c r="B738" s="86" t="s">
        <v>186</v>
      </c>
      <c r="C738" s="86" t="s">
        <v>188</v>
      </c>
      <c r="D738" s="86" t="s">
        <v>187</v>
      </c>
      <c r="G738" s="86" t="s">
        <v>186</v>
      </c>
      <c r="H738" s="86" t="s">
        <v>188</v>
      </c>
      <c r="I738" s="86" t="s">
        <v>187</v>
      </c>
    </row>
    <row r="739">
      <c r="A739" s="80">
        <v>2000.0</v>
      </c>
      <c r="B739" s="61">
        <f>IFERROR(__xludf.DUMMYFUNCTION("COUNTIF(FILTER('SLR Repository'!FW:FW, 'SLR Repository'!H:H= $A739, 'SLR Repository'!FW:FW &lt;&gt; """"), ""x"")"),1.0)</f>
        <v>1</v>
      </c>
      <c r="C739" s="61">
        <f>IFERROR(__xludf.DUMMYFUNCTION("COUNTIF(FILTER('SLR Repository'!FX:FX, 'SLR Repository'!H:H= $A739, 'SLR Repository'!FX:FX &lt;&gt; """"), ""x"")"),1.0)</f>
        <v>1</v>
      </c>
      <c r="D739" s="61">
        <f>IFERROR(__xludf.DUMMYFUNCTION("COUNTIF(FILTER('SLR Repository'!FY:FY, 'SLR Repository'!H:H= $A739, 'SLR Repository'!FY:FY &lt;&gt; """"), ""x"")"),0.0)</f>
        <v>0</v>
      </c>
      <c r="F739" s="80">
        <v>2000.0</v>
      </c>
      <c r="G739" s="61">
        <f t="shared" ref="G739:I739" si="52">B739</f>
        <v>1</v>
      </c>
      <c r="H739" s="61">
        <f t="shared" si="52"/>
        <v>1</v>
      </c>
      <c r="I739" s="61">
        <f t="shared" si="52"/>
        <v>0</v>
      </c>
    </row>
    <row r="740">
      <c r="A740" s="171">
        <v>2001.0</v>
      </c>
      <c r="B740" s="61">
        <f>IFERROR(__xludf.DUMMYFUNCTION("COUNTIF(FILTER('SLR Repository'!FW:FW, 'SLR Repository'!H:H= $A740, 'SLR Repository'!FW:FW &lt;&gt; """"), ""x"")"),2.0)</f>
        <v>2</v>
      </c>
      <c r="C740" s="61">
        <f>IFERROR(__xludf.DUMMYFUNCTION("COUNTIF(FILTER('SLR Repository'!FX:FX, 'SLR Repository'!H:H= $A740, 'SLR Repository'!FX:FX &lt;&gt; """"), ""x"")"),0.0)</f>
        <v>0</v>
      </c>
      <c r="D740" s="61">
        <f>IFERROR(__xludf.DUMMYFUNCTION("COUNTIF(FILTER('SLR Repository'!FY:FY, 'SLR Repository'!H:H= $A740, 'SLR Repository'!FY:FY &lt;&gt; """"), ""x"")"),0.0)</f>
        <v>0</v>
      </c>
      <c r="F740" s="171">
        <v>2001.0</v>
      </c>
      <c r="G740" s="61">
        <f t="shared" ref="G740:I740" si="53">G739+B740</f>
        <v>3</v>
      </c>
      <c r="H740" s="61">
        <f t="shared" si="53"/>
        <v>1</v>
      </c>
      <c r="I740" s="61">
        <f t="shared" si="53"/>
        <v>0</v>
      </c>
    </row>
    <row r="741">
      <c r="A741" s="172">
        <f t="shared" ref="A741:A752" si="55">A740+1</f>
        <v>2002</v>
      </c>
      <c r="B741" s="61">
        <f>IFERROR(__xludf.DUMMYFUNCTION("COUNTIF(FILTER('SLR Repository'!FW:FW, 'SLR Repository'!H:H= $A741, 'SLR Repository'!FW:FW &lt;&gt; """"), ""x"")"),4.0)</f>
        <v>4</v>
      </c>
      <c r="C741" s="61">
        <f>IFERROR(__xludf.DUMMYFUNCTION("COUNTIF(FILTER('SLR Repository'!FX:FX, 'SLR Repository'!H:H= $A741, 'SLR Repository'!FX:FX &lt;&gt; """"), ""x"")"),1.0)</f>
        <v>1</v>
      </c>
      <c r="D741" s="61">
        <f>IFERROR(__xludf.DUMMYFUNCTION("COUNTIF(FILTER('SLR Repository'!FY:FY, 'SLR Repository'!H:H= $A741, 'SLR Repository'!FY:FY &lt;&gt; """"), ""x"")"),3.0)</f>
        <v>3</v>
      </c>
      <c r="F741" s="172">
        <f t="shared" ref="F741:F752" si="56">F740+1</f>
        <v>2002</v>
      </c>
      <c r="G741" s="61">
        <f t="shared" ref="G741:I741" si="54">G740+B741</f>
        <v>7</v>
      </c>
      <c r="H741" s="61">
        <f t="shared" si="54"/>
        <v>2</v>
      </c>
      <c r="I741" s="61">
        <f t="shared" si="54"/>
        <v>3</v>
      </c>
    </row>
    <row r="742">
      <c r="A742" s="172">
        <f t="shared" si="55"/>
        <v>2003</v>
      </c>
      <c r="B742" s="61">
        <f>IFERROR(__xludf.DUMMYFUNCTION("COUNTIF(FILTER('SLR Repository'!FW:FW, 'SLR Repository'!H:H= $A742, 'SLR Repository'!FW:FW &lt;&gt; """"), ""x"")"),0.0)</f>
        <v>0</v>
      </c>
      <c r="C742" s="61">
        <f>IFERROR(__xludf.DUMMYFUNCTION("COUNTIF(FILTER('SLR Repository'!FX:FX, 'SLR Repository'!H:H= $A742, 'SLR Repository'!FX:FX &lt;&gt; """"), ""x"")"),0.0)</f>
        <v>0</v>
      </c>
      <c r="D742" s="61">
        <f>IFERROR(__xludf.DUMMYFUNCTION("COUNTIF(FILTER('SLR Repository'!FY:FY, 'SLR Repository'!H:H= $A742, 'SLR Repository'!FY:FY &lt;&gt; """"), ""x"")"),0.0)</f>
        <v>0</v>
      </c>
      <c r="F742" s="172">
        <f t="shared" si="56"/>
        <v>2003</v>
      </c>
      <c r="G742" s="61">
        <f t="shared" ref="G742:I742" si="57">G741+B742</f>
        <v>7</v>
      </c>
      <c r="H742" s="61">
        <f t="shared" si="57"/>
        <v>2</v>
      </c>
      <c r="I742" s="61">
        <f t="shared" si="57"/>
        <v>3</v>
      </c>
    </row>
    <row r="743">
      <c r="A743" s="172">
        <f t="shared" si="55"/>
        <v>2004</v>
      </c>
      <c r="B743" s="61">
        <f>IFERROR(__xludf.DUMMYFUNCTION("COUNTIF(FILTER('SLR Repository'!FW:FW, 'SLR Repository'!H:H= $A743, 'SLR Repository'!FW:FW &lt;&gt; """"), ""x"")"),2.0)</f>
        <v>2</v>
      </c>
      <c r="C743" s="61">
        <f>IFERROR(__xludf.DUMMYFUNCTION("COUNTIF(FILTER('SLR Repository'!FX:FX, 'SLR Repository'!H:H= $A743, 'SLR Repository'!FX:FX &lt;&gt; """"), ""x"")"),1.0)</f>
        <v>1</v>
      </c>
      <c r="D743" s="61">
        <f>IFERROR(__xludf.DUMMYFUNCTION("COUNTIF(FILTER('SLR Repository'!FY:FY, 'SLR Repository'!H:H= $A743, 'SLR Repository'!FY:FY &lt;&gt; """"), ""x"")"),2.0)</f>
        <v>2</v>
      </c>
      <c r="F743" s="172">
        <f t="shared" si="56"/>
        <v>2004</v>
      </c>
      <c r="G743" s="61">
        <f t="shared" ref="G743:I743" si="58">G742+B743</f>
        <v>9</v>
      </c>
      <c r="H743" s="61">
        <f t="shared" si="58"/>
        <v>3</v>
      </c>
      <c r="I743" s="61">
        <f t="shared" si="58"/>
        <v>5</v>
      </c>
    </row>
    <row r="744">
      <c r="A744" s="172">
        <f t="shared" si="55"/>
        <v>2005</v>
      </c>
      <c r="B744" s="61">
        <f>IFERROR(__xludf.DUMMYFUNCTION("COUNTIF(FILTER('SLR Repository'!FW:FW, 'SLR Repository'!H:H= $A744, 'SLR Repository'!FW:FW &lt;&gt; """"), ""x"")"),3.0)</f>
        <v>3</v>
      </c>
      <c r="C744" s="61">
        <f>IFERROR(__xludf.DUMMYFUNCTION("COUNTIF(FILTER('SLR Repository'!FX:FX, 'SLR Repository'!H:H= $A744, 'SLR Repository'!FX:FX &lt;&gt; """"), ""x"")"),0.0)</f>
        <v>0</v>
      </c>
      <c r="D744" s="61">
        <f>IFERROR(__xludf.DUMMYFUNCTION("COUNTIF(FILTER('SLR Repository'!FY:FY, 'SLR Repository'!H:H= $A744, 'SLR Repository'!FY:FY &lt;&gt; """"), ""x"")"),2.0)</f>
        <v>2</v>
      </c>
      <c r="F744" s="172">
        <f t="shared" si="56"/>
        <v>2005</v>
      </c>
      <c r="G744" s="61">
        <f t="shared" ref="G744:I744" si="59">G743+B744</f>
        <v>12</v>
      </c>
      <c r="H744" s="61">
        <f t="shared" si="59"/>
        <v>3</v>
      </c>
      <c r="I744" s="61">
        <f t="shared" si="59"/>
        <v>7</v>
      </c>
    </row>
    <row r="745">
      <c r="A745" s="172">
        <f t="shared" si="55"/>
        <v>2006</v>
      </c>
      <c r="B745" s="61">
        <f>IFERROR(__xludf.DUMMYFUNCTION("COUNTIF(FILTER('SLR Repository'!FW:FW, 'SLR Repository'!H:H= $A745, 'SLR Repository'!FW:FW &lt;&gt; """"), ""x"")"),3.0)</f>
        <v>3</v>
      </c>
      <c r="C745" s="61">
        <f>IFERROR(__xludf.DUMMYFUNCTION("COUNTIF(FILTER('SLR Repository'!FX:FX, 'SLR Repository'!H:H= $A745, 'SLR Repository'!FX:FX &lt;&gt; """"), ""x"")"),0.0)</f>
        <v>0</v>
      </c>
      <c r="D745" s="61">
        <f>IFERROR(__xludf.DUMMYFUNCTION("COUNTIF(FILTER('SLR Repository'!FY:FY, 'SLR Repository'!H:H= $A745, 'SLR Repository'!FY:FY &lt;&gt; """"), ""x"")"),1.0)</f>
        <v>1</v>
      </c>
      <c r="F745" s="172">
        <f t="shared" si="56"/>
        <v>2006</v>
      </c>
      <c r="G745" s="61">
        <f t="shared" ref="G745:I745" si="60">G744+B745</f>
        <v>15</v>
      </c>
      <c r="H745" s="61">
        <f t="shared" si="60"/>
        <v>3</v>
      </c>
      <c r="I745" s="61">
        <f t="shared" si="60"/>
        <v>8</v>
      </c>
    </row>
    <row r="746">
      <c r="A746" s="172">
        <f t="shared" si="55"/>
        <v>2007</v>
      </c>
      <c r="B746" s="61">
        <f>IFERROR(__xludf.DUMMYFUNCTION("COUNTIF(FILTER('SLR Repository'!FW:FW, 'SLR Repository'!H:H= $A746, 'SLR Repository'!FW:FW &lt;&gt; """"), ""x"")"),2.0)</f>
        <v>2</v>
      </c>
      <c r="C746" s="61">
        <f>IFERROR(__xludf.DUMMYFUNCTION("COUNTIF(FILTER('SLR Repository'!FX:FX, 'SLR Repository'!H:H= $A746, 'SLR Repository'!FX:FX &lt;&gt; """"), ""x"")"),0.0)</f>
        <v>0</v>
      </c>
      <c r="D746" s="61">
        <f>IFERROR(__xludf.DUMMYFUNCTION("COUNTIF(FILTER('SLR Repository'!FY:FY, 'SLR Repository'!H:H= $A746, 'SLR Repository'!FY:FY &lt;&gt; """"), ""x"")"),1.0)</f>
        <v>1</v>
      </c>
      <c r="F746" s="172">
        <f t="shared" si="56"/>
        <v>2007</v>
      </c>
      <c r="G746" s="61">
        <f t="shared" ref="G746:I746" si="61">G745+B746</f>
        <v>17</v>
      </c>
      <c r="H746" s="61">
        <f t="shared" si="61"/>
        <v>3</v>
      </c>
      <c r="I746" s="61">
        <f t="shared" si="61"/>
        <v>9</v>
      </c>
    </row>
    <row r="747">
      <c r="A747" s="172">
        <f t="shared" si="55"/>
        <v>2008</v>
      </c>
      <c r="B747" s="61">
        <f>IFERROR(__xludf.DUMMYFUNCTION("COUNTIF(FILTER('SLR Repository'!FW:FW, 'SLR Repository'!H:H= $A747, 'SLR Repository'!FW:FW &lt;&gt; """"), ""x"")"),6.0)</f>
        <v>6</v>
      </c>
      <c r="C747" s="61">
        <f>IFERROR(__xludf.DUMMYFUNCTION("COUNTIF(FILTER('SLR Repository'!FX:FX, 'SLR Repository'!H:H= $A747, 'SLR Repository'!FX:FX &lt;&gt; """"), ""x"")"),4.0)</f>
        <v>4</v>
      </c>
      <c r="D747" s="61">
        <f>IFERROR(__xludf.DUMMYFUNCTION("COUNTIF(FILTER('SLR Repository'!FY:FY, 'SLR Repository'!H:H= $A747, 'SLR Repository'!FY:FY &lt;&gt; """"), ""x"")"),2.0)</f>
        <v>2</v>
      </c>
      <c r="F747" s="172">
        <f t="shared" si="56"/>
        <v>2008</v>
      </c>
      <c r="G747" s="61">
        <f t="shared" ref="G747:I747" si="62">G746+B747</f>
        <v>23</v>
      </c>
      <c r="H747" s="61">
        <f t="shared" si="62"/>
        <v>7</v>
      </c>
      <c r="I747" s="61">
        <f t="shared" si="62"/>
        <v>11</v>
      </c>
    </row>
    <row r="748">
      <c r="A748" s="172">
        <f t="shared" si="55"/>
        <v>2009</v>
      </c>
      <c r="B748" s="61">
        <f>IFERROR(__xludf.DUMMYFUNCTION("COUNTIF(FILTER('SLR Repository'!FW:FW, 'SLR Repository'!H:H= $A748, 'SLR Repository'!FW:FW &lt;&gt; """"), ""x"")"),2.0)</f>
        <v>2</v>
      </c>
      <c r="C748" s="61">
        <f>IFERROR(__xludf.DUMMYFUNCTION("COUNTIF(FILTER('SLR Repository'!FX:FX, 'SLR Repository'!H:H= $A748, 'SLR Repository'!FX:FX &lt;&gt; """"), ""x"")"),1.0)</f>
        <v>1</v>
      </c>
      <c r="D748" s="61">
        <f>IFERROR(__xludf.DUMMYFUNCTION("COUNTIF(FILTER('SLR Repository'!FY:FY, 'SLR Repository'!H:H= $A748, 'SLR Repository'!FY:FY &lt;&gt; """"), ""x"")"),3.0)</f>
        <v>3</v>
      </c>
      <c r="F748" s="172">
        <f t="shared" si="56"/>
        <v>2009</v>
      </c>
      <c r="G748" s="61">
        <f t="shared" ref="G748:I748" si="63">G747+B748</f>
        <v>25</v>
      </c>
      <c r="H748" s="61">
        <f t="shared" si="63"/>
        <v>8</v>
      </c>
      <c r="I748" s="61">
        <f t="shared" si="63"/>
        <v>14</v>
      </c>
    </row>
    <row r="749">
      <c r="A749" s="172">
        <f t="shared" si="55"/>
        <v>2010</v>
      </c>
      <c r="B749" s="61">
        <f>IFERROR(__xludf.DUMMYFUNCTION("COUNTIF(FILTER('SLR Repository'!FW:FW, 'SLR Repository'!H:H= $A749, 'SLR Repository'!FW:FW &lt;&gt; """"), ""x"")"),5.0)</f>
        <v>5</v>
      </c>
      <c r="C749" s="61">
        <f>IFERROR(__xludf.DUMMYFUNCTION("COUNTIF(FILTER('SLR Repository'!FX:FX, 'SLR Repository'!H:H= $A749, 'SLR Repository'!FX:FX &lt;&gt; """"), ""x"")"),5.0)</f>
        <v>5</v>
      </c>
      <c r="D749" s="61">
        <f>IFERROR(__xludf.DUMMYFUNCTION("COUNTIF(FILTER('SLR Repository'!FY:FY, 'SLR Repository'!H:H= $A749, 'SLR Repository'!FY:FY &lt;&gt; """"), ""x"")"),5.0)</f>
        <v>5</v>
      </c>
      <c r="F749" s="172">
        <f t="shared" si="56"/>
        <v>2010</v>
      </c>
      <c r="G749" s="61">
        <f t="shared" ref="G749:I749" si="64">G748+B749</f>
        <v>30</v>
      </c>
      <c r="H749" s="61">
        <f t="shared" si="64"/>
        <v>13</v>
      </c>
      <c r="I749" s="61">
        <f t="shared" si="64"/>
        <v>19</v>
      </c>
    </row>
    <row r="750">
      <c r="A750" s="172">
        <f t="shared" si="55"/>
        <v>2011</v>
      </c>
      <c r="B750" s="61">
        <f>IFERROR(__xludf.DUMMYFUNCTION("COUNTIF(FILTER('SLR Repository'!FW:FW, 'SLR Repository'!H:H= $A750, 'SLR Repository'!FW:FW &lt;&gt; """"), ""x"")"),2.0)</f>
        <v>2</v>
      </c>
      <c r="C750" s="61">
        <f>IFERROR(__xludf.DUMMYFUNCTION("COUNTIF(FILTER('SLR Repository'!FX:FX, 'SLR Repository'!H:H= $A750, 'SLR Repository'!FX:FX &lt;&gt; """"), ""x"")"),3.0)</f>
        <v>3</v>
      </c>
      <c r="D750" s="61">
        <f>IFERROR(__xludf.DUMMYFUNCTION("COUNTIF(FILTER('SLR Repository'!FY:FY, 'SLR Repository'!H:H= $A750, 'SLR Repository'!FY:FY &lt;&gt; """"), ""x"")"),4.0)</f>
        <v>4</v>
      </c>
      <c r="F750" s="172">
        <f t="shared" si="56"/>
        <v>2011</v>
      </c>
      <c r="G750" s="61">
        <f t="shared" ref="G750:I750" si="65">G749+B750</f>
        <v>32</v>
      </c>
      <c r="H750" s="61">
        <f t="shared" si="65"/>
        <v>16</v>
      </c>
      <c r="I750" s="61">
        <f t="shared" si="65"/>
        <v>23</v>
      </c>
    </row>
    <row r="751">
      <c r="A751" s="172">
        <f t="shared" si="55"/>
        <v>2012</v>
      </c>
      <c r="B751" s="61">
        <f>IFERROR(__xludf.DUMMYFUNCTION("COUNTIF(FILTER('SLR Repository'!FW:FW, 'SLR Repository'!H:H= $A751, 'SLR Repository'!FW:FW &lt;&gt; """"), ""x"")"),4.0)</f>
        <v>4</v>
      </c>
      <c r="C751" s="61">
        <f>IFERROR(__xludf.DUMMYFUNCTION("COUNTIF(FILTER('SLR Repository'!FX:FX, 'SLR Repository'!H:H= $A751, 'SLR Repository'!FX:FX &lt;&gt; """"), ""x"")"),4.0)</f>
        <v>4</v>
      </c>
      <c r="D751" s="61">
        <f>IFERROR(__xludf.DUMMYFUNCTION("COUNTIF(FILTER('SLR Repository'!FY:FY, 'SLR Repository'!H:H= $A751, 'SLR Repository'!FY:FY &lt;&gt; """"), ""x"")"),5.0)</f>
        <v>5</v>
      </c>
      <c r="F751" s="172">
        <f t="shared" si="56"/>
        <v>2012</v>
      </c>
      <c r="G751" s="61">
        <f t="shared" ref="G751:I751" si="66">G750+B751</f>
        <v>36</v>
      </c>
      <c r="H751" s="61">
        <f t="shared" si="66"/>
        <v>20</v>
      </c>
      <c r="I751" s="61">
        <f t="shared" si="66"/>
        <v>28</v>
      </c>
    </row>
    <row r="752">
      <c r="A752" s="172">
        <f t="shared" si="55"/>
        <v>2013</v>
      </c>
      <c r="B752" s="61">
        <f>IFERROR(__xludf.DUMMYFUNCTION("COUNTIF(FILTER('SLR Repository'!FW:FW, 'SLR Repository'!H:H= $A752, 'SLR Repository'!FW:FW &lt;&gt; """"), ""x"")"),3.0)</f>
        <v>3</v>
      </c>
      <c r="C752" s="61">
        <f>IFERROR(__xludf.DUMMYFUNCTION("COUNTIF(FILTER('SLR Repository'!FX:FX, 'SLR Repository'!H:H= $A752, 'SLR Repository'!FX:FX &lt;&gt; """"), ""x"")"),2.0)</f>
        <v>2</v>
      </c>
      <c r="D752" s="61">
        <f>IFERROR(__xludf.DUMMYFUNCTION("COUNTIF(FILTER('SLR Repository'!FY:FY, 'SLR Repository'!H:H= $A752, 'SLR Repository'!FY:FY &lt;&gt; """"), ""x"")"),1.0)</f>
        <v>1</v>
      </c>
      <c r="F752" s="172">
        <f t="shared" si="56"/>
        <v>2013</v>
      </c>
      <c r="G752" s="61">
        <f t="shared" ref="G752:I752" si="67">G751+B752</f>
        <v>39</v>
      </c>
      <c r="H752" s="61">
        <f t="shared" si="67"/>
        <v>22</v>
      </c>
      <c r="I752" s="61">
        <f t="shared" si="67"/>
        <v>29</v>
      </c>
    </row>
    <row r="753">
      <c r="B753" s="61">
        <f t="shared" ref="B753:D753" si="68">sum(B739:B752)</f>
        <v>39</v>
      </c>
      <c r="C753" s="61">
        <f t="shared" si="68"/>
        <v>22</v>
      </c>
      <c r="D753" s="61">
        <f t="shared" si="68"/>
        <v>29</v>
      </c>
    </row>
    <row r="754">
      <c r="B754" s="61">
        <f>'SLR Repository'!FW98</f>
        <v>39</v>
      </c>
      <c r="C754" s="61">
        <f>'SLR Repository'!FX98</f>
        <v>22</v>
      </c>
      <c r="D754" s="61">
        <f>'SLR Repository'!FY98</f>
        <v>29</v>
      </c>
    </row>
    <row r="759">
      <c r="A759" s="207" t="s">
        <v>1321</v>
      </c>
    </row>
    <row r="760">
      <c r="A760" s="87" t="s">
        <v>1322</v>
      </c>
      <c r="B760" s="183">
        <f>countif('SM Repository'!DT:DT, "x")</f>
        <v>25</v>
      </c>
    </row>
    <row r="761">
      <c r="A761" s="87" t="s">
        <v>191</v>
      </c>
      <c r="B761" s="183">
        <f>countif('SM Repository'!DS:DS, "x")</f>
        <v>17</v>
      </c>
    </row>
    <row r="762">
      <c r="A762" s="87" t="s">
        <v>193</v>
      </c>
      <c r="B762" s="183">
        <f>countif('SM Repository'!DU:DU, "x")</f>
        <v>3</v>
      </c>
    </row>
    <row r="763">
      <c r="A763" s="87" t="s">
        <v>1323</v>
      </c>
      <c r="B763" s="183">
        <f>countif('SM Repository'!DX:DX, "x")</f>
        <v>2</v>
      </c>
    </row>
    <row r="764">
      <c r="A764" s="87" t="s">
        <v>85</v>
      </c>
      <c r="B764" s="183">
        <f>countif('SM Repository'!EA:EA, "x")</f>
        <v>2</v>
      </c>
    </row>
    <row r="765">
      <c r="A765" s="87" t="s">
        <v>190</v>
      </c>
      <c r="B765" s="183">
        <f>countif('SM Repository'!DZ:DZ, "x")</f>
        <v>11</v>
      </c>
    </row>
    <row r="766">
      <c r="A766" s="87" t="s">
        <v>189</v>
      </c>
      <c r="B766" s="183">
        <f>countif('SM Repository'!DY:DY, "x")</f>
        <v>16</v>
      </c>
    </row>
    <row r="767">
      <c r="A767" s="122"/>
      <c r="B767" s="178"/>
    </row>
    <row r="768">
      <c r="A768" s="122"/>
      <c r="B768" s="178"/>
    </row>
    <row r="769">
      <c r="A769" s="87" t="s">
        <v>194</v>
      </c>
      <c r="B769" s="183">
        <f>countif('SM Repository'!DV:DV, "x")</f>
        <v>0</v>
      </c>
    </row>
    <row r="770">
      <c r="A770" s="87" t="s">
        <v>195</v>
      </c>
      <c r="B770" s="183">
        <f>countif('SM Repository'!DW:DW, "x")</f>
        <v>0</v>
      </c>
    </row>
    <row r="773">
      <c r="B773" s="87" t="s">
        <v>191</v>
      </c>
      <c r="C773" s="87" t="s">
        <v>1322</v>
      </c>
      <c r="D773" s="87" t="s">
        <v>193</v>
      </c>
      <c r="E773" s="87" t="s">
        <v>1323</v>
      </c>
      <c r="F773" s="87" t="s">
        <v>85</v>
      </c>
    </row>
    <row r="774">
      <c r="A774" s="80">
        <v>2000.0</v>
      </c>
      <c r="B774" s="61">
        <f>IFERROR(__xludf.DUMMYFUNCTION("COUNTIF(FILTER('SLR Repository'!GC:GC, 'SLR Repository'!H:H= $A774, 'SLR Repository'!GC:GC &lt;&gt; """"), ""x"")"),0.0)</f>
        <v>0</v>
      </c>
      <c r="C774" s="61">
        <f>IFERROR(__xludf.DUMMYFUNCTION("COUNTIF(FILTER('SLR Repository'!GD:GD, 'SLR Repository'!H:H= $A774, 'SLR Repository'!GD:GD &lt;&gt; """"), ""x"")"),0.0)</f>
        <v>0</v>
      </c>
      <c r="D774" s="61">
        <f>IFERROR(__xludf.DUMMYFUNCTION("COUNTIF(FILTER('SLR Repository'!GE:GE, 'SLR Repository'!H:H= $A774, 'SLR Repository'!GE:GE &lt;&gt; """"), ""x"")"),1.0)</f>
        <v>1</v>
      </c>
      <c r="E774" s="61">
        <f>IFERROR(__xludf.DUMMYFUNCTION("COUNTIF(FILTER('SLR Repository'!GH:GH, 'SLR Repository'!H:H= $A774, 'SLR Repository'!GH:GH &lt;&gt; """"), ""x"")"),0.0)</f>
        <v>0</v>
      </c>
      <c r="F774" s="61">
        <f>IFERROR(__xludf.DUMMYFUNCTION("COUNTIF(FILTER('SLR Repository'!GK:GK, 'SLR Repository'!H:H= $A774, 'SLR Repository'!GK:GK &lt;&gt; """"), ""x"")"),0.0)</f>
        <v>0</v>
      </c>
    </row>
    <row r="775">
      <c r="A775" s="171">
        <v>2001.0</v>
      </c>
      <c r="B775" s="61">
        <f>IFERROR(__xludf.DUMMYFUNCTION("COUNTIF(FILTER('SLR Repository'!GC:GC, 'SLR Repository'!H:H= $A775, 'SLR Repository'!GC:GC &lt;&gt; """"), ""x"")"),0.0)</f>
        <v>0</v>
      </c>
      <c r="C775" s="61">
        <f>IFERROR(__xludf.DUMMYFUNCTION("COUNTIF(FILTER('SLR Repository'!GD:GD, 'SLR Repository'!H:H= $A775, 'SLR Repository'!GD:GD &lt;&gt; """"), ""x"")"),0.0)</f>
        <v>0</v>
      </c>
      <c r="D775" s="61">
        <f>IFERROR(__xludf.DUMMYFUNCTION("COUNTIF(FILTER('SLR Repository'!GE:GE, 'SLR Repository'!H:H= $A775, 'SLR Repository'!GE:GE &lt;&gt; """"), ""x"")"),0.0)</f>
        <v>0</v>
      </c>
      <c r="E775" s="61">
        <f>IFERROR(__xludf.DUMMYFUNCTION("COUNTIF(FILTER('SLR Repository'!GH:GH, 'SLR Repository'!H:H= $A775, 'SLR Repository'!GH:GH &lt;&gt; """"), ""x"")"),0.0)</f>
        <v>0</v>
      </c>
      <c r="F775" s="61">
        <f>IFERROR(__xludf.DUMMYFUNCTION("COUNTIF(FILTER('SLR Repository'!GK:GK, 'SLR Repository'!H:H= $A775, 'SLR Repository'!GK:GK &lt;&gt; """"), ""x"")"),0.0)</f>
        <v>0</v>
      </c>
    </row>
    <row r="776">
      <c r="A776" s="172">
        <f t="shared" ref="A776:A787" si="69">A775+1</f>
        <v>2002</v>
      </c>
      <c r="B776" s="61">
        <f>IFERROR(__xludf.DUMMYFUNCTION("COUNTIF(FILTER('SLR Repository'!GC:GC, 'SLR Repository'!H:H= $A776, 'SLR Repository'!GC:GC &lt;&gt; """"), ""x"")"),1.0)</f>
        <v>1</v>
      </c>
      <c r="C776" s="61">
        <f>IFERROR(__xludf.DUMMYFUNCTION("COUNTIF(FILTER('SLR Repository'!GD:GD, 'SLR Repository'!H:H= $A776, 'SLR Repository'!GD:GD &lt;&gt; """"), ""x"")"),2.0)</f>
        <v>2</v>
      </c>
      <c r="D776" s="61">
        <f>IFERROR(__xludf.DUMMYFUNCTION("COUNTIF(FILTER('SLR Repository'!GE:GE, 'SLR Repository'!H:H= $A776, 'SLR Repository'!GE:GE &lt;&gt; """"), ""x"")"),0.0)</f>
        <v>0</v>
      </c>
      <c r="E776" s="61">
        <f>IFERROR(__xludf.DUMMYFUNCTION("COUNTIF(FILTER('SLR Repository'!GH:GH, 'SLR Repository'!H:H= $A776, 'SLR Repository'!GH:GH &lt;&gt; """"), ""x"")"),0.0)</f>
        <v>0</v>
      </c>
      <c r="F776" s="61">
        <f>IFERROR(__xludf.DUMMYFUNCTION("COUNTIF(FILTER('SLR Repository'!GK:GK, 'SLR Repository'!H:H= $A776, 'SLR Repository'!GK:GK &lt;&gt; """"), ""x"")"),0.0)</f>
        <v>0</v>
      </c>
    </row>
    <row r="777">
      <c r="A777" s="172">
        <f t="shared" si="69"/>
        <v>2003</v>
      </c>
      <c r="B777" s="61">
        <f>IFERROR(__xludf.DUMMYFUNCTION("COUNTIF(FILTER('SLR Repository'!GC:GC, 'SLR Repository'!H:H= $A777, 'SLR Repository'!GC:GC &lt;&gt; """"), ""x"")"),0.0)</f>
        <v>0</v>
      </c>
      <c r="C777" s="61">
        <f>IFERROR(__xludf.DUMMYFUNCTION("COUNTIF(FILTER('SLR Repository'!GD:GD, 'SLR Repository'!H:H= $A777, 'SLR Repository'!GD:GD &lt;&gt; """"), ""x"")"),0.0)</f>
        <v>0</v>
      </c>
      <c r="D777" s="61">
        <f>IFERROR(__xludf.DUMMYFUNCTION("COUNTIF(FILTER('SLR Repository'!GE:GE, 'SLR Repository'!H:H= $A777, 'SLR Repository'!GE:GE &lt;&gt; """"), ""x"")"),0.0)</f>
        <v>0</v>
      </c>
      <c r="E777" s="61">
        <f>IFERROR(__xludf.DUMMYFUNCTION("COUNTIF(FILTER('SLR Repository'!GH:GH, 'SLR Repository'!H:H= $A777, 'SLR Repository'!GH:GH &lt;&gt; """"), ""x"")"),0.0)</f>
        <v>0</v>
      </c>
      <c r="F777" s="61">
        <f>IFERROR(__xludf.DUMMYFUNCTION("COUNTIF(FILTER('SLR Repository'!GK:GK, 'SLR Repository'!H:H= $A777, 'SLR Repository'!GK:GK &lt;&gt; """"), ""x"")"),0.0)</f>
        <v>0</v>
      </c>
    </row>
    <row r="778">
      <c r="A778" s="172">
        <f t="shared" si="69"/>
        <v>2004</v>
      </c>
      <c r="B778" s="61">
        <f>IFERROR(__xludf.DUMMYFUNCTION("COUNTIF(FILTER('SLR Repository'!GC:GC, 'SLR Repository'!H:H= $A778, 'SLR Repository'!GC:GC &lt;&gt; """"), ""x"")"),1.0)</f>
        <v>1</v>
      </c>
      <c r="C778" s="61">
        <f>IFERROR(__xludf.DUMMYFUNCTION("COUNTIF(FILTER('SLR Repository'!GD:GD, 'SLR Repository'!H:H= $A778, 'SLR Repository'!GD:GD &lt;&gt; """"), ""x"")"),2.0)</f>
        <v>2</v>
      </c>
      <c r="D778" s="61">
        <f>IFERROR(__xludf.DUMMYFUNCTION("COUNTIF(FILTER('SLR Repository'!GE:GE, 'SLR Repository'!H:H= $A778, 'SLR Repository'!GE:GE &lt;&gt; """"), ""x"")"),0.0)</f>
        <v>0</v>
      </c>
      <c r="E778" s="61">
        <f>IFERROR(__xludf.DUMMYFUNCTION("COUNTIF(FILTER('SLR Repository'!GH:GH, 'SLR Repository'!H:H= $A778, 'SLR Repository'!GH:GH &lt;&gt; """"), ""x"")"),0.0)</f>
        <v>0</v>
      </c>
      <c r="F778" s="61">
        <f>IFERROR(__xludf.DUMMYFUNCTION("COUNTIF(FILTER('SLR Repository'!GK:GK, 'SLR Repository'!H:H= $A778, 'SLR Repository'!GK:GK &lt;&gt; """"), ""x"")"),1.0)</f>
        <v>1</v>
      </c>
      <c r="I778" s="87" t="s">
        <v>191</v>
      </c>
      <c r="J778" s="87" t="s">
        <v>1322</v>
      </c>
      <c r="K778" s="87" t="s">
        <v>193</v>
      </c>
      <c r="L778" s="87" t="s">
        <v>1323</v>
      </c>
      <c r="M778" s="87" t="s">
        <v>85</v>
      </c>
    </row>
    <row r="779">
      <c r="A779" s="172">
        <f t="shared" si="69"/>
        <v>2005</v>
      </c>
      <c r="B779" s="61">
        <f>IFERROR(__xludf.DUMMYFUNCTION("COUNTIF(FILTER('SLR Repository'!GC:GC, 'SLR Repository'!H:H= $A779, 'SLR Repository'!GC:GC &lt;&gt; """"), ""x"")"),3.0)</f>
        <v>3</v>
      </c>
      <c r="C779" s="61">
        <f>IFERROR(__xludf.DUMMYFUNCTION("COUNTIF(FILTER('SLR Repository'!GD:GD, 'SLR Repository'!H:H= $A779, 'SLR Repository'!GD:GD &lt;&gt; """"), ""x"")"),4.0)</f>
        <v>4</v>
      </c>
      <c r="D779" s="61">
        <f>IFERROR(__xludf.DUMMYFUNCTION("COUNTIF(FILTER('SLR Repository'!GE:GE, 'SLR Repository'!H:H= $A779, 'SLR Repository'!GE:GE &lt;&gt; """"), ""x"")"),0.0)</f>
        <v>0</v>
      </c>
      <c r="E779" s="61">
        <f>IFERROR(__xludf.DUMMYFUNCTION("COUNTIF(FILTER('SLR Repository'!GH:GH, 'SLR Repository'!H:H= $A779, 'SLR Repository'!GH:GH &lt;&gt; """"), ""x"")"),1.0)</f>
        <v>1</v>
      </c>
      <c r="F779" s="61">
        <f>IFERROR(__xludf.DUMMYFUNCTION("COUNTIF(FILTER('SLR Repository'!GK:GK, 'SLR Repository'!H:H= $A779, 'SLR Repository'!GK:GK &lt;&gt; """"), ""x"")"),1.0)</f>
        <v>1</v>
      </c>
      <c r="H779" s="80">
        <v>2000.0</v>
      </c>
      <c r="I779" s="61">
        <f t="shared" ref="I779:M779" si="70">B774</f>
        <v>0</v>
      </c>
      <c r="J779" s="61">
        <f t="shared" si="70"/>
        <v>0</v>
      </c>
      <c r="K779" s="61">
        <f t="shared" si="70"/>
        <v>1</v>
      </c>
      <c r="L779" s="61">
        <f t="shared" si="70"/>
        <v>0</v>
      </c>
      <c r="M779" s="61">
        <f t="shared" si="70"/>
        <v>0</v>
      </c>
    </row>
    <row r="780">
      <c r="A780" s="172">
        <f t="shared" si="69"/>
        <v>2006</v>
      </c>
      <c r="B780" s="61">
        <f>IFERROR(__xludf.DUMMYFUNCTION("COUNTIF(FILTER('SLR Repository'!GC:GC, 'SLR Repository'!H:H= $A780, 'SLR Repository'!GC:GC &lt;&gt; """"), ""x"")"),1.0)</f>
        <v>1</v>
      </c>
      <c r="C780" s="61">
        <f>IFERROR(__xludf.DUMMYFUNCTION("COUNTIF(FILTER('SLR Repository'!GD:GD, 'SLR Repository'!H:H= $A780, 'SLR Repository'!GD:GD &lt;&gt; """"), ""x"")"),5.0)</f>
        <v>5</v>
      </c>
      <c r="D780" s="61">
        <f>IFERROR(__xludf.DUMMYFUNCTION("COUNTIF(FILTER('SLR Repository'!GE:GE, 'SLR Repository'!H:H= $A780, 'SLR Repository'!GE:GE &lt;&gt; """"), ""x"")"),1.0)</f>
        <v>1</v>
      </c>
      <c r="E780" s="61">
        <f>IFERROR(__xludf.DUMMYFUNCTION("COUNTIF(FILTER('SLR Repository'!GH:GH, 'SLR Repository'!H:H= $A780, 'SLR Repository'!GH:GH &lt;&gt; """"), ""x"")"),0.0)</f>
        <v>0</v>
      </c>
      <c r="F780" s="61">
        <f>IFERROR(__xludf.DUMMYFUNCTION("COUNTIF(FILTER('SLR Repository'!GK:GK, 'SLR Repository'!H:H= $A780, 'SLR Repository'!GK:GK &lt;&gt; """"), ""x"")"),0.0)</f>
        <v>0</v>
      </c>
      <c r="H780" s="171">
        <v>2001.0</v>
      </c>
      <c r="I780" s="61">
        <f t="shared" ref="I780:M780" si="71">I779+B775</f>
        <v>0</v>
      </c>
      <c r="J780" s="61">
        <f t="shared" si="71"/>
        <v>0</v>
      </c>
      <c r="K780" s="61">
        <f t="shared" si="71"/>
        <v>1</v>
      </c>
      <c r="L780" s="61">
        <f t="shared" si="71"/>
        <v>0</v>
      </c>
      <c r="M780" s="61">
        <f t="shared" si="71"/>
        <v>0</v>
      </c>
    </row>
    <row r="781">
      <c r="A781" s="172">
        <f t="shared" si="69"/>
        <v>2007</v>
      </c>
      <c r="B781" s="61">
        <f>IFERROR(__xludf.DUMMYFUNCTION("COUNTIF(FILTER('SLR Repository'!GC:GC, 'SLR Repository'!H:H= $A781, 'SLR Repository'!GC:GC &lt;&gt; """"), ""x"")"),1.0)</f>
        <v>1</v>
      </c>
      <c r="C781" s="61">
        <f>IFERROR(__xludf.DUMMYFUNCTION("COUNTIF(FILTER('SLR Repository'!GD:GD, 'SLR Repository'!H:H= $A781, 'SLR Repository'!GD:GD &lt;&gt; """"), ""x"")"),1.0)</f>
        <v>1</v>
      </c>
      <c r="D781" s="61">
        <f>IFERROR(__xludf.DUMMYFUNCTION("COUNTIF(FILTER('SLR Repository'!GE:GE, 'SLR Repository'!H:H= $A781, 'SLR Repository'!GE:GE &lt;&gt; """"), ""x"")"),1.0)</f>
        <v>1</v>
      </c>
      <c r="E781" s="61">
        <f>IFERROR(__xludf.DUMMYFUNCTION("COUNTIF(FILTER('SLR Repository'!GH:GH, 'SLR Repository'!H:H= $A781, 'SLR Repository'!GH:GH &lt;&gt; """"), ""x"")"),0.0)</f>
        <v>0</v>
      </c>
      <c r="F781" s="61">
        <f>IFERROR(__xludf.DUMMYFUNCTION("COUNTIF(FILTER('SLR Repository'!GK:GK, 'SLR Repository'!H:H= $A781, 'SLR Repository'!GK:GK &lt;&gt; """"), ""x"")"),0.0)</f>
        <v>0</v>
      </c>
      <c r="H781" s="172">
        <f t="shared" ref="H781:H792" si="73">H780+1</f>
        <v>2002</v>
      </c>
      <c r="I781" s="61">
        <f t="shared" ref="I781:M781" si="72">I780+B776</f>
        <v>1</v>
      </c>
      <c r="J781" s="61">
        <f t="shared" si="72"/>
        <v>2</v>
      </c>
      <c r="K781" s="61">
        <f t="shared" si="72"/>
        <v>1</v>
      </c>
      <c r="L781" s="61">
        <f t="shared" si="72"/>
        <v>0</v>
      </c>
      <c r="M781" s="61">
        <f t="shared" si="72"/>
        <v>0</v>
      </c>
    </row>
    <row r="782">
      <c r="A782" s="172">
        <f t="shared" si="69"/>
        <v>2008</v>
      </c>
      <c r="B782" s="61">
        <f>IFERROR(__xludf.DUMMYFUNCTION("COUNTIF(FILTER('SLR Repository'!GC:GC, 'SLR Repository'!H:H= $A782, 'SLR Repository'!GC:GC &lt;&gt; """"), ""x"")"),3.0)</f>
        <v>3</v>
      </c>
      <c r="C782" s="61">
        <f>IFERROR(__xludf.DUMMYFUNCTION("COUNTIF(FILTER('SLR Repository'!GD:GD, 'SLR Repository'!H:H= $A782, 'SLR Repository'!GD:GD &lt;&gt; """"), ""x"")"),4.0)</f>
        <v>4</v>
      </c>
      <c r="D782" s="61">
        <f>IFERROR(__xludf.DUMMYFUNCTION("COUNTIF(FILTER('SLR Repository'!GE:GE, 'SLR Repository'!H:H= $A782, 'SLR Repository'!GE:GE &lt;&gt; """"), ""x"")"),0.0)</f>
        <v>0</v>
      </c>
      <c r="E782" s="61">
        <f>IFERROR(__xludf.DUMMYFUNCTION("COUNTIF(FILTER('SLR Repository'!GH:GH, 'SLR Repository'!H:H= $A782, 'SLR Repository'!GH:GH &lt;&gt; """"), ""x"")"),0.0)</f>
        <v>0</v>
      </c>
      <c r="F782" s="61">
        <f>IFERROR(__xludf.DUMMYFUNCTION("COUNTIF(FILTER('SLR Repository'!GK:GK, 'SLR Repository'!H:H= $A782, 'SLR Repository'!GK:GK &lt;&gt; """"), ""x"")"),0.0)</f>
        <v>0</v>
      </c>
      <c r="H782" s="172">
        <f t="shared" si="73"/>
        <v>2003</v>
      </c>
      <c r="I782" s="61">
        <f t="shared" ref="I782:M782" si="74">I781+B777</f>
        <v>1</v>
      </c>
      <c r="J782" s="61">
        <f t="shared" si="74"/>
        <v>2</v>
      </c>
      <c r="K782" s="61">
        <f t="shared" si="74"/>
        <v>1</v>
      </c>
      <c r="L782" s="61">
        <f t="shared" si="74"/>
        <v>0</v>
      </c>
      <c r="M782" s="61">
        <f t="shared" si="74"/>
        <v>0</v>
      </c>
    </row>
    <row r="783">
      <c r="A783" s="172">
        <f t="shared" si="69"/>
        <v>2009</v>
      </c>
      <c r="B783" s="61">
        <f>IFERROR(__xludf.DUMMYFUNCTION("COUNTIF(FILTER('SLR Repository'!GC:GC, 'SLR Repository'!H:H= $A783, 'SLR Repository'!GC:GC &lt;&gt; """"), ""x"")"),0.0)</f>
        <v>0</v>
      </c>
      <c r="C783" s="61">
        <f>IFERROR(__xludf.DUMMYFUNCTION("COUNTIF(FILTER('SLR Repository'!GD:GD, 'SLR Repository'!H:H= $A783, 'SLR Repository'!GD:GD &lt;&gt; """"), ""x"")"),2.0)</f>
        <v>2</v>
      </c>
      <c r="D783" s="61">
        <f>IFERROR(__xludf.DUMMYFUNCTION("COUNTIF(FILTER('SLR Repository'!GE:GE, 'SLR Repository'!H:H= $A783, 'SLR Repository'!GE:GE &lt;&gt; """"), ""x"")"),0.0)</f>
        <v>0</v>
      </c>
      <c r="E783" s="61">
        <f>IFERROR(__xludf.DUMMYFUNCTION("COUNTIF(FILTER('SLR Repository'!GH:GH, 'SLR Repository'!H:H= $A783, 'SLR Repository'!GH:GH &lt;&gt; """"), ""x"")"),1.0)</f>
        <v>1</v>
      </c>
      <c r="F783" s="61">
        <f>IFERROR(__xludf.DUMMYFUNCTION("COUNTIF(FILTER('SLR Repository'!GK:GK, 'SLR Repository'!H:H= $A783, 'SLR Repository'!GK:GK &lt;&gt; """"), ""x"")"),0.0)</f>
        <v>0</v>
      </c>
      <c r="H783" s="172">
        <f t="shared" si="73"/>
        <v>2004</v>
      </c>
      <c r="I783" s="61">
        <f t="shared" ref="I783:M783" si="75">I782+B778</f>
        <v>2</v>
      </c>
      <c r="J783" s="61">
        <f t="shared" si="75"/>
        <v>4</v>
      </c>
      <c r="K783" s="61">
        <f t="shared" si="75"/>
        <v>1</v>
      </c>
      <c r="L783" s="61">
        <f t="shared" si="75"/>
        <v>0</v>
      </c>
      <c r="M783" s="61">
        <f t="shared" si="75"/>
        <v>1</v>
      </c>
    </row>
    <row r="784">
      <c r="A784" s="172">
        <f t="shared" si="69"/>
        <v>2010</v>
      </c>
      <c r="B784" s="61">
        <f>IFERROR(__xludf.DUMMYFUNCTION("COUNTIF(FILTER('SLR Repository'!GC:GC, 'SLR Repository'!H:H= $A784, 'SLR Repository'!GC:GC &lt;&gt; """"), ""x"")"),4.0)</f>
        <v>4</v>
      </c>
      <c r="C784" s="61">
        <f>IFERROR(__xludf.DUMMYFUNCTION("COUNTIF(FILTER('SLR Repository'!GD:GD, 'SLR Repository'!H:H= $A784, 'SLR Repository'!GD:GD &lt;&gt; """"), ""x"")"),3.0)</f>
        <v>3</v>
      </c>
      <c r="D784" s="61">
        <f>IFERROR(__xludf.DUMMYFUNCTION("COUNTIF(FILTER('SLR Repository'!GE:GE, 'SLR Repository'!H:H= $A784, 'SLR Repository'!GE:GE &lt;&gt; """"), ""x"")"),0.0)</f>
        <v>0</v>
      </c>
      <c r="E784" s="61">
        <f>IFERROR(__xludf.DUMMYFUNCTION("COUNTIF(FILTER('SLR Repository'!GH:GH, 'SLR Repository'!H:H= $A784, 'SLR Repository'!GH:GH &lt;&gt; """"), ""x"")"),0.0)</f>
        <v>0</v>
      </c>
      <c r="F784" s="61">
        <f>IFERROR(__xludf.DUMMYFUNCTION("COUNTIF(FILTER('SLR Repository'!GK:GK, 'SLR Repository'!H:H= $A784, 'SLR Repository'!GK:GK &lt;&gt; """"), ""x"")"),0.0)</f>
        <v>0</v>
      </c>
      <c r="H784" s="172">
        <f t="shared" si="73"/>
        <v>2005</v>
      </c>
      <c r="I784" s="61">
        <f t="shared" ref="I784:M784" si="76">I783+B779</f>
        <v>5</v>
      </c>
      <c r="J784" s="61">
        <f t="shared" si="76"/>
        <v>8</v>
      </c>
      <c r="K784" s="61">
        <f t="shared" si="76"/>
        <v>1</v>
      </c>
      <c r="L784" s="61">
        <f t="shared" si="76"/>
        <v>1</v>
      </c>
      <c r="M784" s="61">
        <f t="shared" si="76"/>
        <v>2</v>
      </c>
    </row>
    <row r="785">
      <c r="A785" s="172">
        <f t="shared" si="69"/>
        <v>2011</v>
      </c>
      <c r="B785" s="61">
        <f>IFERROR(__xludf.DUMMYFUNCTION("COUNTIF(FILTER('SLR Repository'!GC:GC, 'SLR Repository'!H:H= $A785, 'SLR Repository'!GC:GC &lt;&gt; """"), ""x"")"),3.0)</f>
        <v>3</v>
      </c>
      <c r="C785" s="61">
        <f>IFERROR(__xludf.DUMMYFUNCTION("COUNTIF(FILTER('SLR Repository'!GD:GD, 'SLR Repository'!H:H= $A785, 'SLR Repository'!GD:GD &lt;&gt; """"), ""x"")"),4.0)</f>
        <v>4</v>
      </c>
      <c r="D785" s="61">
        <f>IFERROR(__xludf.DUMMYFUNCTION("COUNTIF(FILTER('SLR Repository'!GE:GE, 'SLR Repository'!H:H= $A785, 'SLR Repository'!GE:GE &lt;&gt; """"), ""x"")"),1.0)</f>
        <v>1</v>
      </c>
      <c r="E785" s="61">
        <f>IFERROR(__xludf.DUMMYFUNCTION("COUNTIF(FILTER('SLR Repository'!GH:GH, 'SLR Repository'!H:H= $A785, 'SLR Repository'!GH:GH &lt;&gt; """"), ""x"")"),0.0)</f>
        <v>0</v>
      </c>
      <c r="F785" s="61">
        <f>IFERROR(__xludf.DUMMYFUNCTION("COUNTIF(FILTER('SLR Repository'!GK:GK, 'SLR Repository'!H:H= $A785, 'SLR Repository'!GK:GK &lt;&gt; """"), ""x"")"),0.0)</f>
        <v>0</v>
      </c>
      <c r="H785" s="172">
        <f t="shared" si="73"/>
        <v>2006</v>
      </c>
      <c r="I785" s="61">
        <f t="shared" ref="I785:M785" si="77">I784+B780</f>
        <v>6</v>
      </c>
      <c r="J785" s="61">
        <f t="shared" si="77"/>
        <v>13</v>
      </c>
      <c r="K785" s="61">
        <f t="shared" si="77"/>
        <v>2</v>
      </c>
      <c r="L785" s="61">
        <f t="shared" si="77"/>
        <v>1</v>
      </c>
      <c r="M785" s="61">
        <f t="shared" si="77"/>
        <v>2</v>
      </c>
    </row>
    <row r="786">
      <c r="A786" s="172">
        <f t="shared" si="69"/>
        <v>2012</v>
      </c>
      <c r="B786" s="61">
        <f>IFERROR(__xludf.DUMMYFUNCTION("COUNTIF(FILTER('SLR Repository'!GC:GC, 'SLR Repository'!H:H= $A786, 'SLR Repository'!GC:GC &lt;&gt; """"), ""x"")"),3.0)</f>
        <v>3</v>
      </c>
      <c r="C786" s="61">
        <f>IFERROR(__xludf.DUMMYFUNCTION("COUNTIF(FILTER('SLR Repository'!GD:GD, 'SLR Repository'!H:H= $A786, 'SLR Repository'!GD:GD &lt;&gt; """"), ""x"")"),2.0)</f>
        <v>2</v>
      </c>
      <c r="D786" s="61">
        <f>IFERROR(__xludf.DUMMYFUNCTION("COUNTIF(FILTER('SLR Repository'!GE:GE, 'SLR Repository'!H:H= $A786, 'SLR Repository'!GE:GE &lt;&gt; """"), ""x"")"),0.0)</f>
        <v>0</v>
      </c>
      <c r="E786" s="61">
        <f>IFERROR(__xludf.DUMMYFUNCTION("COUNTIF(FILTER('SLR Repository'!GH:GH, 'SLR Repository'!H:H= $A786, 'SLR Repository'!GH:GH &lt;&gt; """"), ""x"")"),0.0)</f>
        <v>0</v>
      </c>
      <c r="F786" s="61">
        <f>IFERROR(__xludf.DUMMYFUNCTION("COUNTIF(FILTER('SLR Repository'!GK:GK, 'SLR Repository'!H:H= $A786, 'SLR Repository'!GK:GK &lt;&gt; """"), ""x"")"),0.0)</f>
        <v>0</v>
      </c>
      <c r="H786" s="172">
        <f t="shared" si="73"/>
        <v>2007</v>
      </c>
      <c r="I786" s="61">
        <f t="shared" ref="I786:M786" si="78">I785+B781</f>
        <v>7</v>
      </c>
      <c r="J786" s="61">
        <f t="shared" si="78"/>
        <v>14</v>
      </c>
      <c r="K786" s="61">
        <f t="shared" si="78"/>
        <v>3</v>
      </c>
      <c r="L786" s="61">
        <f t="shared" si="78"/>
        <v>1</v>
      </c>
      <c r="M786" s="61">
        <f t="shared" si="78"/>
        <v>2</v>
      </c>
    </row>
    <row r="787">
      <c r="A787" s="172">
        <f t="shared" si="69"/>
        <v>2013</v>
      </c>
      <c r="B787" s="61">
        <f>IFERROR(__xludf.DUMMYFUNCTION("COUNTIF(FILTER('SLR Repository'!GC:GC, 'SLR Repository'!H:H= $A787, 'SLR Repository'!GC:GC &lt;&gt; """"), ""x"")"),0.0)</f>
        <v>0</v>
      </c>
      <c r="C787" s="61">
        <f>IFERROR(__xludf.DUMMYFUNCTION("COUNTIF(FILTER('SLR Repository'!GD:GD, 'SLR Repository'!H:H= $A787, 'SLR Repository'!GD:GD &lt;&gt; """"), ""x"")"),1.0)</f>
        <v>1</v>
      </c>
      <c r="D787" s="61">
        <f>IFERROR(__xludf.DUMMYFUNCTION("COUNTIF(FILTER('SLR Repository'!GE:GE, 'SLR Repository'!H:H= $A787, 'SLR Repository'!GE:GE &lt;&gt; """"), ""x"")"),0.0)</f>
        <v>0</v>
      </c>
      <c r="E787" s="61">
        <f>IFERROR(__xludf.DUMMYFUNCTION("COUNTIF(FILTER('SLR Repository'!GH:GH, 'SLR Repository'!H:H= $A787, 'SLR Repository'!GH:GH &lt;&gt; """"), ""x"")"),0.0)</f>
        <v>0</v>
      </c>
      <c r="F787" s="61">
        <f>IFERROR(__xludf.DUMMYFUNCTION("COUNTIF(FILTER('SLR Repository'!GK:GK, 'SLR Repository'!H:H= $A787, 'SLR Repository'!GK:GK &lt;&gt; """"), ""x"")"),0.0)</f>
        <v>0</v>
      </c>
      <c r="H787" s="172">
        <f t="shared" si="73"/>
        <v>2008</v>
      </c>
      <c r="I787" s="61">
        <f t="shared" ref="I787:M787" si="79">I786+B782</f>
        <v>10</v>
      </c>
      <c r="J787" s="61">
        <f t="shared" si="79"/>
        <v>18</v>
      </c>
      <c r="K787" s="61">
        <f t="shared" si="79"/>
        <v>3</v>
      </c>
      <c r="L787" s="61">
        <f t="shared" si="79"/>
        <v>1</v>
      </c>
      <c r="M787" s="61">
        <f t="shared" si="79"/>
        <v>2</v>
      </c>
    </row>
    <row r="788">
      <c r="B788" s="61">
        <f t="shared" ref="B788:F788" si="80">sum(B774:B787)</f>
        <v>20</v>
      </c>
      <c r="C788" s="61">
        <f t="shared" si="80"/>
        <v>30</v>
      </c>
      <c r="D788" s="61">
        <f t="shared" si="80"/>
        <v>4</v>
      </c>
      <c r="E788" s="61">
        <f t="shared" si="80"/>
        <v>2</v>
      </c>
      <c r="F788" s="61">
        <f t="shared" si="80"/>
        <v>2</v>
      </c>
      <c r="H788" s="172">
        <f t="shared" si="73"/>
        <v>2009</v>
      </c>
      <c r="I788" s="61">
        <f t="shared" ref="I788:M788" si="81">I787+B783</f>
        <v>10</v>
      </c>
      <c r="J788" s="61">
        <f t="shared" si="81"/>
        <v>20</v>
      </c>
      <c r="K788" s="61">
        <f t="shared" si="81"/>
        <v>3</v>
      </c>
      <c r="L788" s="61">
        <f t="shared" si="81"/>
        <v>2</v>
      </c>
      <c r="M788" s="61">
        <f t="shared" si="81"/>
        <v>2</v>
      </c>
    </row>
    <row r="789">
      <c r="B789" s="61">
        <f>'SLR Repository'!GC98</f>
        <v>20</v>
      </c>
      <c r="C789" s="61">
        <f>'SLR Repository'!GD98</f>
        <v>30</v>
      </c>
      <c r="D789" s="61">
        <f>'SLR Repository'!GE98</f>
        <v>6</v>
      </c>
      <c r="E789" s="61">
        <f>'SLR Repository'!GF98</f>
        <v>0</v>
      </c>
      <c r="F789" s="61">
        <f>'SLR Repository'!GG98</f>
        <v>0</v>
      </c>
      <c r="H789" s="172">
        <f t="shared" si="73"/>
        <v>2010</v>
      </c>
      <c r="I789" s="61">
        <f t="shared" ref="I789:M789" si="82">I788+B784</f>
        <v>14</v>
      </c>
      <c r="J789" s="61">
        <f t="shared" si="82"/>
        <v>23</v>
      </c>
      <c r="K789" s="61">
        <f t="shared" si="82"/>
        <v>3</v>
      </c>
      <c r="L789" s="61">
        <f t="shared" si="82"/>
        <v>2</v>
      </c>
      <c r="M789" s="61">
        <f t="shared" si="82"/>
        <v>2</v>
      </c>
    </row>
    <row r="790">
      <c r="H790" s="172">
        <f t="shared" si="73"/>
        <v>2011</v>
      </c>
      <c r="I790" s="61">
        <f t="shared" ref="I790:M790" si="83">I789+B785</f>
        <v>17</v>
      </c>
      <c r="J790" s="61">
        <f t="shared" si="83"/>
        <v>27</v>
      </c>
      <c r="K790" s="61">
        <f t="shared" si="83"/>
        <v>4</v>
      </c>
      <c r="L790" s="61">
        <f t="shared" si="83"/>
        <v>2</v>
      </c>
      <c r="M790" s="61">
        <f t="shared" si="83"/>
        <v>2</v>
      </c>
    </row>
    <row r="791">
      <c r="H791" s="172">
        <f t="shared" si="73"/>
        <v>2012</v>
      </c>
      <c r="I791" s="61">
        <f t="shared" ref="I791:M791" si="84">I790+B786</f>
        <v>20</v>
      </c>
      <c r="J791" s="61">
        <f t="shared" si="84"/>
        <v>29</v>
      </c>
      <c r="K791" s="61">
        <f t="shared" si="84"/>
        <v>4</v>
      </c>
      <c r="L791" s="61">
        <f t="shared" si="84"/>
        <v>2</v>
      </c>
      <c r="M791" s="61">
        <f t="shared" si="84"/>
        <v>2</v>
      </c>
    </row>
    <row r="792">
      <c r="H792" s="172">
        <f t="shared" si="73"/>
        <v>2013</v>
      </c>
      <c r="I792" s="61">
        <f t="shared" ref="I792:M792" si="85">I791+B787</f>
        <v>20</v>
      </c>
      <c r="J792" s="61">
        <f t="shared" si="85"/>
        <v>30</v>
      </c>
      <c r="K792" s="61">
        <f t="shared" si="85"/>
        <v>4</v>
      </c>
      <c r="L792" s="61">
        <f t="shared" si="85"/>
        <v>2</v>
      </c>
      <c r="M792" s="61">
        <f t="shared" si="85"/>
        <v>2</v>
      </c>
    </row>
    <row r="810">
      <c r="A810" s="71" t="s">
        <v>32</v>
      </c>
    </row>
    <row r="811">
      <c r="A811" s="88" t="s">
        <v>197</v>
      </c>
      <c r="B811" s="183">
        <f>counta('SM Repository'!EB:EB)-2</f>
        <v>43</v>
      </c>
    </row>
    <row r="812">
      <c r="A812" s="88" t="s">
        <v>198</v>
      </c>
      <c r="B812" s="183">
        <f>counta('SM Repository'!EC:EC)-2</f>
        <v>7</v>
      </c>
    </row>
    <row r="817">
      <c r="A817" s="208" t="s">
        <v>33</v>
      </c>
    </row>
    <row r="818">
      <c r="A818" s="89" t="s">
        <v>199</v>
      </c>
      <c r="B818" s="80" t="s">
        <v>1324</v>
      </c>
    </row>
    <row r="819">
      <c r="C819" s="209" t="s">
        <v>1325</v>
      </c>
    </row>
    <row r="820">
      <c r="A820" s="122"/>
    </row>
    <row r="821">
      <c r="A821" s="90" t="s">
        <v>201</v>
      </c>
      <c r="B821" s="80" t="s">
        <v>1324</v>
      </c>
    </row>
    <row r="823">
      <c r="A823" s="90" t="s">
        <v>202</v>
      </c>
    </row>
    <row r="824">
      <c r="A824" s="80" t="s">
        <v>1325</v>
      </c>
    </row>
    <row r="825">
      <c r="A825" s="90" t="s">
        <v>1326</v>
      </c>
      <c r="B825" s="183">
        <f>countif('SM Repository'!EI:EI, "x")</f>
        <v>42</v>
      </c>
    </row>
    <row r="826">
      <c r="A826" s="90" t="s">
        <v>1327</v>
      </c>
      <c r="B826" s="183">
        <f>countif('SM Repository'!EH:EH, "x")</f>
        <v>22</v>
      </c>
    </row>
    <row r="827">
      <c r="A827" s="90" t="s">
        <v>1328</v>
      </c>
      <c r="B827" s="183">
        <f>countif('SM Repository'!EJ:EJ, "x")</f>
        <v>21</v>
      </c>
    </row>
    <row r="830">
      <c r="B830" s="90" t="s">
        <v>203</v>
      </c>
      <c r="C830" s="90" t="s">
        <v>204</v>
      </c>
      <c r="D830" s="90" t="s">
        <v>205</v>
      </c>
      <c r="G830" s="90" t="s">
        <v>203</v>
      </c>
      <c r="H830" s="90" t="s">
        <v>204</v>
      </c>
      <c r="I830" s="90" t="s">
        <v>205</v>
      </c>
    </row>
    <row r="831">
      <c r="A831" s="171">
        <v>1999.0</v>
      </c>
      <c r="B831" s="61">
        <f>IFERROR(__xludf.DUMMYFUNCTION("COUNTIF(FILTER('SM Repository'!EH:EH, 'SM Repository'!AF:AF = $A831, 'SM Repository'!EH:EH &lt;&gt; """"), ""x"")"),0.0)</f>
        <v>0</v>
      </c>
      <c r="C831" s="61">
        <f>IFERROR(__xludf.DUMMYFUNCTION("COUNTIF(FILTER('SM Repository'!EI:EI, 'SM Repository'!AF:AF = $A831, 'SM Repository'!EI:EI &lt;&gt; """"), ""x"")"),0.0)</f>
        <v>0</v>
      </c>
      <c r="D831" s="61">
        <f>IFERROR(__xludf.DUMMYFUNCTION("COUNTIF(FILTER('SM Repository'!EJ:EJ, 'SM Repository'!AF:AF = $A831, 'SM Repository'!EJ:EJ &lt;&gt; """"), ""x"")"),0.0)</f>
        <v>0</v>
      </c>
      <c r="F831" s="171">
        <v>1999.0</v>
      </c>
      <c r="G831" s="61">
        <f t="shared" ref="G831:I831" si="86">B831+""</f>
        <v>0</v>
      </c>
      <c r="H831" s="61">
        <f t="shared" si="86"/>
        <v>0</v>
      </c>
      <c r="I831" s="61">
        <f t="shared" si="86"/>
        <v>0</v>
      </c>
    </row>
    <row r="832">
      <c r="A832" s="171">
        <v>2000.0</v>
      </c>
      <c r="B832" s="61">
        <f>IFERROR(__xludf.DUMMYFUNCTION("COUNTIF(FILTER('SM Repository'!EH:EH, 'SM Repository'!AF:AF = $A832, 'SM Repository'!EH:EH &lt;&gt; """"), ""x"")"),0.0)</f>
        <v>0</v>
      </c>
      <c r="C832" s="61">
        <f>IFERROR(__xludf.DUMMYFUNCTION("COUNTIF(FILTER('SM Repository'!EI:EI, 'SM Repository'!AF:AF = $A832, 'SM Repository'!EI:EI &lt;&gt; """"), ""x"")"),0.0)</f>
        <v>0</v>
      </c>
      <c r="D832" s="61">
        <f>IFERROR(__xludf.DUMMYFUNCTION("COUNTIF(FILTER('SM Repository'!EJ:EJ, 'SM Repository'!AF:AF = $A832, 'SM Repository'!EJ:EJ &lt;&gt; """"), ""x"")"),0.0)</f>
        <v>0</v>
      </c>
      <c r="F832" s="171">
        <v>2000.0</v>
      </c>
      <c r="G832" s="61">
        <f t="shared" ref="G832:I832" si="87">B832+G831</f>
        <v>0</v>
      </c>
      <c r="H832" s="61">
        <f t="shared" si="87"/>
        <v>0</v>
      </c>
      <c r="I832" s="61">
        <f t="shared" si="87"/>
        <v>0</v>
      </c>
    </row>
    <row r="833">
      <c r="A833" s="172">
        <f t="shared" ref="A833:A843" si="89">A832+1</f>
        <v>2001</v>
      </c>
      <c r="B833" s="61">
        <f>IFERROR(__xludf.DUMMYFUNCTION("COUNTIF(FILTER('SM Repository'!EH:EH, 'SM Repository'!AF:AF = $A833, 'SM Repository'!EH:EH &lt;&gt; """"), ""x"")"),0.0)</f>
        <v>0</v>
      </c>
      <c r="C833" s="61">
        <f>IFERROR(__xludf.DUMMYFUNCTION("COUNTIF(FILTER('SM Repository'!EI:EI, 'SM Repository'!AF:AF = $A833, 'SM Repository'!EI:EI &lt;&gt; """"), ""x"")"),0.0)</f>
        <v>0</v>
      </c>
      <c r="D833" s="61">
        <f>IFERROR(__xludf.DUMMYFUNCTION("COUNTIF(FILTER('SM Repository'!EJ:EJ, 'SM Repository'!AF:AF = $A833, 'SM Repository'!EJ:EJ &lt;&gt; """"), ""x"")"),1.0)</f>
        <v>1</v>
      </c>
      <c r="F833" s="172">
        <f t="shared" ref="F833:F843" si="90">F832+1</f>
        <v>2001</v>
      </c>
      <c r="G833" s="61">
        <f t="shared" ref="G833:I833" si="88">B833+G832</f>
        <v>0</v>
      </c>
      <c r="H833" s="61">
        <f t="shared" si="88"/>
        <v>0</v>
      </c>
      <c r="I833" s="61">
        <f t="shared" si="88"/>
        <v>1</v>
      </c>
    </row>
    <row r="834">
      <c r="A834" s="172">
        <f t="shared" si="89"/>
        <v>2002</v>
      </c>
      <c r="B834" s="61">
        <f>IFERROR(__xludf.DUMMYFUNCTION("COUNTIF(FILTER('SM Repository'!EH:EH, 'SM Repository'!AF:AF = $A834, 'SM Repository'!EH:EH &lt;&gt; """"), ""x"")"),1.0)</f>
        <v>1</v>
      </c>
      <c r="C834" s="61">
        <f>IFERROR(__xludf.DUMMYFUNCTION("COUNTIF(FILTER('SM Repository'!EI:EI, 'SM Repository'!AF:AF = $A834, 'SM Repository'!EI:EI &lt;&gt; """"), ""x"")"),1.0)</f>
        <v>1</v>
      </c>
      <c r="D834" s="61">
        <f>IFERROR(__xludf.DUMMYFUNCTION("COUNTIF(FILTER('SM Repository'!EJ:EJ, 'SM Repository'!AF:AF = $A834, 'SM Repository'!EJ:EJ &lt;&gt; """"), ""x"")"),1.0)</f>
        <v>1</v>
      </c>
      <c r="F834" s="172">
        <f t="shared" si="90"/>
        <v>2002</v>
      </c>
      <c r="G834" s="61">
        <f t="shared" ref="G834:I834" si="91">B834+G833</f>
        <v>1</v>
      </c>
      <c r="H834" s="61">
        <f t="shared" si="91"/>
        <v>1</v>
      </c>
      <c r="I834" s="61">
        <f t="shared" si="91"/>
        <v>2</v>
      </c>
    </row>
    <row r="835">
      <c r="A835" s="172">
        <f t="shared" si="89"/>
        <v>2003</v>
      </c>
      <c r="B835" s="61">
        <f>IFERROR(__xludf.DUMMYFUNCTION("COUNTIF(FILTER('SM Repository'!EH:EH, 'SM Repository'!AF:AF = $A835, 'SM Repository'!EH:EH &lt;&gt; """"), ""x"")"),0.0)</f>
        <v>0</v>
      </c>
      <c r="C835" s="61">
        <f>IFERROR(__xludf.DUMMYFUNCTION("COUNTIF(FILTER('SM Repository'!EI:EI, 'SM Repository'!AF:AF = $A835, 'SM Repository'!EI:EI &lt;&gt; """"), ""x"")"),0.0)</f>
        <v>0</v>
      </c>
      <c r="D835" s="61">
        <f>IFERROR(__xludf.DUMMYFUNCTION("COUNTIF(FILTER('SM Repository'!EJ:EJ, 'SM Repository'!AF:AF = $A835, 'SM Repository'!EJ:EJ &lt;&gt; """"), ""x"")"),0.0)</f>
        <v>0</v>
      </c>
      <c r="F835" s="172">
        <f t="shared" si="90"/>
        <v>2003</v>
      </c>
      <c r="G835" s="61">
        <f t="shared" ref="G835:I835" si="92">B835+G834</f>
        <v>1</v>
      </c>
      <c r="H835" s="61">
        <f t="shared" si="92"/>
        <v>1</v>
      </c>
      <c r="I835" s="61">
        <f t="shared" si="92"/>
        <v>2</v>
      </c>
    </row>
    <row r="836">
      <c r="A836" s="172">
        <f t="shared" si="89"/>
        <v>2004</v>
      </c>
      <c r="B836" s="61">
        <f>IFERROR(__xludf.DUMMYFUNCTION("COUNTIF(FILTER('SM Repository'!EH:EH, 'SM Repository'!AF:AF = $A836, 'SM Repository'!EH:EH &lt;&gt; """"), ""x"")"),0.0)</f>
        <v>0</v>
      </c>
      <c r="C836" s="61">
        <f>IFERROR(__xludf.DUMMYFUNCTION("COUNTIF(FILTER('SM Repository'!EI:EI, 'SM Repository'!AF:AF = $A836, 'SM Repository'!EI:EI &lt;&gt; """"), ""x"")"),4.0)</f>
        <v>4</v>
      </c>
      <c r="D836" s="61">
        <f>IFERROR(__xludf.DUMMYFUNCTION("COUNTIF(FILTER('SM Repository'!EJ:EJ, 'SM Repository'!AF:AF = $A836, 'SM Repository'!EJ:EJ &lt;&gt; """"), ""x"")"),0.0)</f>
        <v>0</v>
      </c>
      <c r="F836" s="172">
        <f t="shared" si="90"/>
        <v>2004</v>
      </c>
      <c r="G836" s="61">
        <f t="shared" ref="G836:I836" si="93">B836+G835</f>
        <v>1</v>
      </c>
      <c r="H836" s="61">
        <f t="shared" si="93"/>
        <v>5</v>
      </c>
      <c r="I836" s="61">
        <f t="shared" si="93"/>
        <v>2</v>
      </c>
    </row>
    <row r="837">
      <c r="A837" s="172">
        <f t="shared" si="89"/>
        <v>2005</v>
      </c>
      <c r="B837" s="61">
        <f>IFERROR(__xludf.DUMMYFUNCTION("COUNTIF(FILTER('SM Repository'!EH:EH, 'SM Repository'!AF:AF = $A837, 'SM Repository'!EH:EH &lt;&gt; """"), ""x"")"),6.0)</f>
        <v>6</v>
      </c>
      <c r="C837" s="61">
        <f>IFERROR(__xludf.DUMMYFUNCTION("COUNTIF(FILTER('SM Repository'!EI:EI, 'SM Repository'!AF:AF = $A837, 'SM Repository'!EI:EI &lt;&gt; """"), ""x"")"),3.0)</f>
        <v>3</v>
      </c>
      <c r="D837" s="61">
        <f>IFERROR(__xludf.DUMMYFUNCTION("COUNTIF(FILTER('SM Repository'!EJ:EJ, 'SM Repository'!AF:AF = $A837, 'SM Repository'!EJ:EJ &lt;&gt; """"), ""x"")"),2.0)</f>
        <v>2</v>
      </c>
      <c r="F837" s="172">
        <f t="shared" si="90"/>
        <v>2005</v>
      </c>
      <c r="G837" s="61">
        <f t="shared" ref="G837:I837" si="94">B837+G836</f>
        <v>7</v>
      </c>
      <c r="H837" s="61">
        <f t="shared" si="94"/>
        <v>8</v>
      </c>
      <c r="I837" s="61">
        <f t="shared" si="94"/>
        <v>4</v>
      </c>
    </row>
    <row r="838">
      <c r="A838" s="172">
        <f t="shared" si="89"/>
        <v>2006</v>
      </c>
      <c r="B838" s="61">
        <f>IFERROR(__xludf.DUMMYFUNCTION("COUNTIF(FILTER('SM Repository'!EH:EH, 'SM Repository'!AF:AF = $A838, 'SM Repository'!EH:EH &lt;&gt; """"), ""x"")"),5.0)</f>
        <v>5</v>
      </c>
      <c r="C838" s="61">
        <f>IFERROR(__xludf.DUMMYFUNCTION("COUNTIF(FILTER('SM Repository'!EI:EI, 'SM Repository'!AF:AF = $A838, 'SM Repository'!EI:EI &lt;&gt; """"), ""x"")"),4.0)</f>
        <v>4</v>
      </c>
      <c r="D838" s="61">
        <f>IFERROR(__xludf.DUMMYFUNCTION("COUNTIF(FILTER('SM Repository'!EJ:EJ, 'SM Repository'!AF:AF = $A838, 'SM Repository'!EJ:EJ &lt;&gt; """"), ""x"")"),3.0)</f>
        <v>3</v>
      </c>
      <c r="F838" s="172">
        <f t="shared" si="90"/>
        <v>2006</v>
      </c>
      <c r="G838" s="61">
        <f t="shared" ref="G838:I838" si="95">B838+G837</f>
        <v>12</v>
      </c>
      <c r="H838" s="61">
        <f t="shared" si="95"/>
        <v>12</v>
      </c>
      <c r="I838" s="61">
        <f t="shared" si="95"/>
        <v>7</v>
      </c>
    </row>
    <row r="839">
      <c r="A839" s="172">
        <f t="shared" si="89"/>
        <v>2007</v>
      </c>
      <c r="B839" s="61">
        <f>IFERROR(__xludf.DUMMYFUNCTION("COUNTIF(FILTER('SM Repository'!EH:EH, 'SM Repository'!AF:AF = $A839, 'SM Repository'!EH:EH &lt;&gt; """"), ""x"")"),2.0)</f>
        <v>2</v>
      </c>
      <c r="C839" s="61">
        <f>IFERROR(__xludf.DUMMYFUNCTION("COUNTIF(FILTER('SM Repository'!EI:EI, 'SM Repository'!AF:AF = $A839, 'SM Repository'!EI:EI &lt;&gt; """"), ""x"")"),2.0)</f>
        <v>2</v>
      </c>
      <c r="D839" s="61">
        <f>IFERROR(__xludf.DUMMYFUNCTION("COUNTIF(FILTER('SM Repository'!EJ:EJ, 'SM Repository'!AF:AF = $A839, 'SM Repository'!EJ:EJ &lt;&gt; """"), ""x"")"),1.0)</f>
        <v>1</v>
      </c>
      <c r="F839" s="172">
        <f t="shared" si="90"/>
        <v>2007</v>
      </c>
      <c r="G839" s="61">
        <f t="shared" ref="G839:I839" si="96">B839+G838</f>
        <v>14</v>
      </c>
      <c r="H839" s="61">
        <f t="shared" si="96"/>
        <v>14</v>
      </c>
      <c r="I839" s="61">
        <f t="shared" si="96"/>
        <v>8</v>
      </c>
    </row>
    <row r="840">
      <c r="A840" s="172">
        <f t="shared" si="89"/>
        <v>2008</v>
      </c>
      <c r="B840" s="61">
        <f>IFERROR(__xludf.DUMMYFUNCTION("COUNTIF(FILTER('SM Repository'!EH:EH, 'SM Repository'!AF:AF = $A840, 'SM Repository'!EH:EH &lt;&gt; """"), ""x"")"),2.0)</f>
        <v>2</v>
      </c>
      <c r="C840" s="61">
        <f>IFERROR(__xludf.DUMMYFUNCTION("COUNTIF(FILTER('SM Repository'!EI:EI, 'SM Repository'!AF:AF = $A840, 'SM Repository'!EI:EI &lt;&gt; """"), ""x"")"),11.0)</f>
        <v>11</v>
      </c>
      <c r="D840" s="61">
        <f>IFERROR(__xludf.DUMMYFUNCTION("COUNTIF(FILTER('SM Repository'!EJ:EJ, 'SM Repository'!AF:AF = $A840, 'SM Repository'!EJ:EJ &lt;&gt; """"), ""x"")"),2.0)</f>
        <v>2</v>
      </c>
      <c r="F840" s="172">
        <f t="shared" si="90"/>
        <v>2008</v>
      </c>
      <c r="G840" s="61">
        <f t="shared" ref="G840:I840" si="97">B840+G839</f>
        <v>16</v>
      </c>
      <c r="H840" s="61">
        <f t="shared" si="97"/>
        <v>25</v>
      </c>
      <c r="I840" s="61">
        <f t="shared" si="97"/>
        <v>10</v>
      </c>
    </row>
    <row r="841">
      <c r="A841" s="172">
        <f t="shared" si="89"/>
        <v>2009</v>
      </c>
      <c r="B841" s="61">
        <f>IFERROR(__xludf.DUMMYFUNCTION("COUNTIF(FILTER('SM Repository'!EH:EH, 'SM Repository'!AF:AF = $A841, 'SM Repository'!EH:EH &lt;&gt; """"), ""x"")"),1.0)</f>
        <v>1</v>
      </c>
      <c r="C841" s="61">
        <f>IFERROR(__xludf.DUMMYFUNCTION("COUNTIF(FILTER('SM Repository'!EI:EI, 'SM Repository'!AF:AF = $A841, 'SM Repository'!EI:EI &lt;&gt; """"), ""x"")"),2.0)</f>
        <v>2</v>
      </c>
      <c r="D841" s="61">
        <f>IFERROR(__xludf.DUMMYFUNCTION("COUNTIF(FILTER('SM Repository'!EJ:EJ, 'SM Repository'!AF:AF = $A841, 'SM Repository'!EJ:EJ &lt;&gt; """"), ""x"")"),4.0)</f>
        <v>4</v>
      </c>
      <c r="F841" s="172">
        <f t="shared" si="90"/>
        <v>2009</v>
      </c>
      <c r="G841" s="61">
        <f t="shared" ref="G841:I841" si="98">B841+G840</f>
        <v>17</v>
      </c>
      <c r="H841" s="61">
        <f t="shared" si="98"/>
        <v>27</v>
      </c>
      <c r="I841" s="61">
        <f t="shared" si="98"/>
        <v>14</v>
      </c>
    </row>
    <row r="842">
      <c r="A842" s="172">
        <f t="shared" si="89"/>
        <v>2010</v>
      </c>
      <c r="B842" s="61">
        <f>IFERROR(__xludf.DUMMYFUNCTION("COUNTIF(FILTER('SM Repository'!EH:EH, 'SM Repository'!AF:AF = $A842, 'SM Repository'!EH:EH &lt;&gt; """"), ""x"")"),3.0)</f>
        <v>3</v>
      </c>
      <c r="C842" s="61">
        <f>IFERROR(__xludf.DUMMYFUNCTION("COUNTIF(FILTER('SM Repository'!EI:EI, 'SM Repository'!AF:AF = $A842, 'SM Repository'!EI:EI &lt;&gt; """"), ""x"")"),8.0)</f>
        <v>8</v>
      </c>
      <c r="D842" s="61">
        <f>IFERROR(__xludf.DUMMYFUNCTION("COUNTIF(FILTER('SM Repository'!EJ:EJ, 'SM Repository'!AF:AF = $A842, 'SM Repository'!EJ:EJ &lt;&gt; """"), ""x"")"),2.0)</f>
        <v>2</v>
      </c>
      <c r="F842" s="172">
        <f t="shared" si="90"/>
        <v>2010</v>
      </c>
      <c r="G842" s="61">
        <f t="shared" ref="G842:I842" si="99">B842+G841</f>
        <v>20</v>
      </c>
      <c r="H842" s="61">
        <f t="shared" si="99"/>
        <v>35</v>
      </c>
      <c r="I842" s="61">
        <f t="shared" si="99"/>
        <v>16</v>
      </c>
    </row>
    <row r="843">
      <c r="A843" s="172">
        <f t="shared" si="89"/>
        <v>2011</v>
      </c>
      <c r="B843" s="61">
        <f>IFERROR(__xludf.DUMMYFUNCTION("COUNTIF(FILTER('SM Repository'!EH:EH, 'SM Repository'!AF:AF = $A843, 'SM Repository'!EH:EH &lt;&gt; """"), ""x"")"),2.0)</f>
        <v>2</v>
      </c>
      <c r="C843" s="61">
        <f>IFERROR(__xludf.DUMMYFUNCTION("COUNTIF(FILTER('SM Repository'!EI:EI, 'SM Repository'!AF:AF = $A843, 'SM Repository'!EI:EI &lt;&gt; """"), ""x"")"),7.0)</f>
        <v>7</v>
      </c>
      <c r="D843" s="61">
        <f>IFERROR(__xludf.DUMMYFUNCTION("COUNTIF(FILTER('SM Repository'!EJ:EJ, 'SM Repository'!AF:AF = $A843, 'SM Repository'!EJ:EJ &lt;&gt; """"), ""x"")"),5.0)</f>
        <v>5</v>
      </c>
      <c r="F843" s="172">
        <f t="shared" si="90"/>
        <v>2011</v>
      </c>
      <c r="G843" s="61">
        <f t="shared" ref="G843:I843" si="100">B843+G842</f>
        <v>22</v>
      </c>
      <c r="H843" s="61">
        <f t="shared" si="100"/>
        <v>42</v>
      </c>
      <c r="I843" s="61">
        <f t="shared" si="100"/>
        <v>21</v>
      </c>
    </row>
    <row r="844">
      <c r="A844" s="80">
        <v>2012.0</v>
      </c>
      <c r="B844" s="61">
        <f>IFERROR(__xludf.DUMMYFUNCTION("COUNTIF(FILTER('SM Repository'!EH:EH, 'SM Repository'!AF:AF = $A844, 'SM Repository'!EH:EH &lt;&gt; """"), ""x"")"),0.0)</f>
        <v>0</v>
      </c>
      <c r="C844" s="61">
        <f>IFERROR(__xludf.DUMMYFUNCTION("COUNTIF(FILTER('SM Repository'!EI:EI, 'SM Repository'!AF:AF = $A844, 'SM Repository'!EI:EI &lt;&gt; """"), ""x"")"),0.0)</f>
        <v>0</v>
      </c>
      <c r="D844" s="61">
        <f>IFERROR(__xludf.DUMMYFUNCTION("COUNTIF(FILTER('SM Repository'!EJ:EJ, 'SM Repository'!AF:AF = $A844, 'SM Repository'!EJ:EJ &lt;&gt; """"), ""x"")"),0.0)</f>
        <v>0</v>
      </c>
      <c r="F844" s="80">
        <v>2012.0</v>
      </c>
      <c r="G844" s="61">
        <f t="shared" ref="G844:I844" si="101">B844+G843</f>
        <v>22</v>
      </c>
      <c r="H844" s="61">
        <f t="shared" si="101"/>
        <v>42</v>
      </c>
      <c r="I844" s="61">
        <f t="shared" si="101"/>
        <v>21</v>
      </c>
    </row>
    <row r="845">
      <c r="B845" s="194">
        <f t="shared" ref="B845:D845" si="102">SUM(B831:B844)</f>
        <v>22</v>
      </c>
      <c r="C845" s="194">
        <f t="shared" si="102"/>
        <v>42</v>
      </c>
      <c r="D845" s="194">
        <f t="shared" si="102"/>
        <v>21</v>
      </c>
    </row>
    <row r="858">
      <c r="A858" s="49" t="s">
        <v>1329</v>
      </c>
    </row>
    <row r="859">
      <c r="A859" s="80" t="s">
        <v>1330</v>
      </c>
      <c r="B859" s="61">
        <f>CORREL('SM Repository'!AF3:AF81, 'SM Repository'!EF3:EF81)</f>
        <v>0.3390334653</v>
      </c>
    </row>
    <row r="886">
      <c r="B886" s="86" t="s">
        <v>186</v>
      </c>
      <c r="C886" s="86" t="s">
        <v>187</v>
      </c>
      <c r="D886" s="86" t="s">
        <v>188</v>
      </c>
      <c r="E886" s="86" t="s">
        <v>189</v>
      </c>
      <c r="F886" s="86" t="s">
        <v>190</v>
      </c>
      <c r="G886" s="86" t="s">
        <v>85</v>
      </c>
    </row>
    <row r="887">
      <c r="A887" s="90" t="s">
        <v>191</v>
      </c>
      <c r="B887" s="183">
        <f>IFERROR(__xludf.DUMMYFUNCTION("COUNTIF(FILTER('SM Repository'!$DS$3:$DS$138, 'SM Repository'!DM$3:DM$138 = ""X"", 'SM Repository'!$DS$3:$DS$138 = ""X""), ""X"")"),5.0)</f>
        <v>5</v>
      </c>
      <c r="C887" s="183">
        <f>IFERROR(__xludf.DUMMYFUNCTION("COUNTIF(FILTER('SM Repository'!$DS$3:$DS$138, 'SM Repository'!DN$3:DN$138 = ""X"", 'SM Repository'!$DS$3:$DS$138 = ""X""), ""X"")"),2.0)</f>
        <v>2</v>
      </c>
      <c r="D887" s="183">
        <f>IFERROR(__xludf.DUMMYFUNCTION("COUNTIF(FILTER('SM Repository'!$DS$3:$DS$138, 'SM Repository'!DO$3:DO$138 = ""X"", 'SM Repository'!$DS$3:$DS$138 = ""X""), ""X"")"),5.0)</f>
        <v>5</v>
      </c>
      <c r="E887" s="183">
        <f>IFERROR(__xludf.DUMMYFUNCTION("COUNTIF(FILTER('SM Repository'!$DS$3:$DS$138, 'SM Repository'!DP$3:DP$138 = ""X"", 'SM Repository'!$DS$3:$DS$138 = ""X""), ""X"")"),7.0)</f>
        <v>7</v>
      </c>
      <c r="F887" s="183">
        <f>IFERROR(__xludf.DUMMYFUNCTION("COUNTIF(FILTER('SM Repository'!$DS$3:$DS$138, 'SM Repository'!DQ$3:DQ$138 = ""X"", 'SM Repository'!$DS$3:$DS$138 = ""X""), ""X"")"),2.0)</f>
        <v>2</v>
      </c>
      <c r="G887" s="183">
        <f>IFERROR(__xludf.DUMMYFUNCTION("COUNTIF(FILTER('SM Repository'!$DS$3:$DS$138, 'SM Repository'!DR$3:DR$138 = ""X"", 'SM Repository'!$DS$3:$DS$138 = ""X""), ""X"")"),0.0)</f>
        <v>0</v>
      </c>
    </row>
    <row r="888">
      <c r="A888" s="90" t="s">
        <v>1331</v>
      </c>
      <c r="B888" s="183">
        <f>IFERROR(__xludf.DUMMYFUNCTION("COUNTIF(FILTER('SM Repository'!$DT$3:$DT$138, 'SM Repository'!DM$3:DM$138 = ""X"", 'SM Repository'!$DT$3:$DT$138 = ""X""), ""X"")"),8.0)</f>
        <v>8</v>
      </c>
      <c r="C888" s="183">
        <f>IFERROR(__xludf.DUMMYFUNCTION("COUNTIF(FILTER('SM Repository'!$DT$3:$DT$138, 'SM Repository'!DN$3:DN$138 = ""X"", 'SM Repository'!$DT$3:$DT$138 = ""X""), ""X"")"),5.0)</f>
        <v>5</v>
      </c>
      <c r="D888" s="183">
        <f>IFERROR(__xludf.DUMMYFUNCTION("COUNTIF(FILTER('SM Repository'!$DT$3:$DT$138, 'SM Repository'!DO$3:DO$138 = ""X"", 'SM Repository'!$DT$3:$DT$138 = ""X""), ""X"")"),5.0)</f>
        <v>5</v>
      </c>
      <c r="E888" s="183">
        <f>IFERROR(__xludf.DUMMYFUNCTION("COUNTIF(FILTER('SM Repository'!$DT$3:$DT$138, 'SM Repository'!DP$3:DP$138 = ""X"", 'SM Repository'!$DT$3:$DT$138 = ""X""), ""X"")"),9.0)</f>
        <v>9</v>
      </c>
      <c r="F888" s="183">
        <f>IFERROR(__xludf.DUMMYFUNCTION("COUNTIF(FILTER('SM Repository'!$DT$3:$DT$138, 'SM Repository'!DQ$3:DQ$138 = ""X"", 'SM Repository'!$DT$3:$DT$138 = ""X""), ""X"")"),2.0)</f>
        <v>2</v>
      </c>
      <c r="G888" s="183">
        <f>IFERROR(__xludf.DUMMYFUNCTION("COUNTIF(FILTER('SM Repository'!$DT$3:$DT$138, 'SM Repository'!DR$3:DR$138 = ""X"", 'SM Repository'!$DT$3:$DT$138 = ""X""), ""X"")"),0.0)</f>
        <v>0</v>
      </c>
    </row>
    <row r="889">
      <c r="A889" s="90" t="s">
        <v>193</v>
      </c>
      <c r="B889" s="183">
        <f>IFERROR(__xludf.DUMMYFUNCTION("COUNTIF(FILTER('SM Repository'!$DU$3:$DU$138, 'SM Repository'!DM$3:DM$138 = ""X"", 'SM Repository'!$DU$3:$DU$138 = ""X""), ""X"")"),1.0)</f>
        <v>1</v>
      </c>
      <c r="C889" s="183">
        <f>IFERROR(__xludf.DUMMYFUNCTION("COUNTIF(FILTER('SM Repository'!$DU$3:$DU$138, 'SM Repository'!DN$3:DN$138 = ""X"", 'SM Repository'!$DU$3:$DU$138 = ""X""), ""X"")"),0.0)</f>
        <v>0</v>
      </c>
      <c r="D889" s="183">
        <f>IFERROR(__xludf.DUMMYFUNCTION("COUNTIF(FILTER('SM Repository'!$DU$3:$DU$138, 'SM Repository'!DO$3:DO$138 = ""X"", 'SM Repository'!$DU$3:$DU$138 = ""X""), ""X"")"),1.0)</f>
        <v>1</v>
      </c>
      <c r="E889" s="183">
        <f>IFERROR(__xludf.DUMMYFUNCTION("COUNTIF(FILTER('SM Repository'!$DU$3:$DU$138, 'SM Repository'!DP$3:DP$138 = ""X"", 'SM Repository'!$DU$3:$DU$138 = ""X""), ""X"")"),2.0)</f>
        <v>2</v>
      </c>
      <c r="F889" s="183">
        <f>IFERROR(__xludf.DUMMYFUNCTION("COUNTIF(FILTER('SM Repository'!$DU$3:$DU$138, 'SM Repository'!DQ$3:DQ$138 = ""X"", 'SM Repository'!$DU$3:$DU$138 = ""X""), ""X"")"),0.0)</f>
        <v>0</v>
      </c>
      <c r="G889" s="183">
        <f>IFERROR(__xludf.DUMMYFUNCTION("COUNTIF(FILTER('SM Repository'!$DU$3:$DU$138, 'SM Repository'!DR$3:DR$138 = ""X"", 'SM Repository'!$DU$3:$DU$138 = ""X""), ""X"")"),0.0)</f>
        <v>0</v>
      </c>
    </row>
    <row r="890">
      <c r="A890" s="90" t="s">
        <v>194</v>
      </c>
      <c r="B890" s="183">
        <f>IFERROR(__xludf.DUMMYFUNCTION("COUNTIF(FILTER('SM Repository'!$DV$3:$DV$138, 'SM Repository'!DM$3:DM$138 = ""X"", 'SM Repository'!$DV$3:$DV$138 = ""X""), ""X"")"),0.0)</f>
        <v>0</v>
      </c>
      <c r="C890" s="183">
        <f>IFERROR(__xludf.DUMMYFUNCTION("COUNTIF(FILTER('SM Repository'!$DV$3:$DV$138, 'SM Repository'!DN$3:DN$138 = ""X"", 'SM Repository'!$DV$3:$DV$138 = ""X""), ""X"")"),0.0)</f>
        <v>0</v>
      </c>
      <c r="D890" s="183">
        <f>IFERROR(__xludf.DUMMYFUNCTION("COUNTIF(FILTER('SM Repository'!$DV$3:$DV$138, 'SM Repository'!DO$3:DO$138 = ""X"", 'SM Repository'!$DV$3:$DV$138 = ""X""), ""X"")"),0.0)</f>
        <v>0</v>
      </c>
      <c r="E890" s="183">
        <f>IFERROR(__xludf.DUMMYFUNCTION("COUNTIF(FILTER('SM Repository'!$DV$3:$DV$138, 'SM Repository'!DP$3:DP$138 = ""X"", 'SM Repository'!$DV$3:$DV$138 = ""X""), ""X"")"),0.0)</f>
        <v>0</v>
      </c>
      <c r="F890" s="183">
        <f>IFERROR(__xludf.DUMMYFUNCTION("COUNTIF(FILTER('SM Repository'!$DV$3:$DV$138, 'SM Repository'!DQ$3:DQ$138 = ""X"", 'SM Repository'!$DV$3:$DV$138 = ""X""), ""X"")"),0.0)</f>
        <v>0</v>
      </c>
      <c r="G890" s="183">
        <f>IFERROR(__xludf.DUMMYFUNCTION("COUNTIF(FILTER('SM Repository'!$DV$3:$DV$138, 'SM Repository'!DR$3:DR$138 = ""X"", 'SM Repository'!$DV$3:$DV$138 = ""X""), ""X"")"),0.0)</f>
        <v>0</v>
      </c>
    </row>
    <row r="891">
      <c r="A891" s="90" t="s">
        <v>195</v>
      </c>
      <c r="B891" s="183">
        <f>IFERROR(__xludf.DUMMYFUNCTION("COUNTIF(FILTER('SM Repository'!$DW$3:$DW$138, 'SM Repository'!DM$3:DM$138 = ""X"", 'SM Repository'!$DW$3:$DW$138 = ""X""), ""X"")"),0.0)</f>
        <v>0</v>
      </c>
      <c r="C891" s="183">
        <f>IFERROR(__xludf.DUMMYFUNCTION("COUNTIF(FILTER('SM Repository'!$DW$3:$DW$138, 'SM Repository'!DN$3:DN$138 = ""X"", 'SM Repository'!$DW$3:$DW$138 = ""X""), ""X"")"),0.0)</f>
        <v>0</v>
      </c>
      <c r="D891" s="183">
        <f>IFERROR(__xludf.DUMMYFUNCTION("COUNTIF(FILTER('SM Repository'!$DW$3:$DW$138, 'SM Repository'!DO$3:DO$138 = ""X"", 'SM Repository'!$DW$3:$DW$138 = ""X""), ""X"")"),0.0)</f>
        <v>0</v>
      </c>
      <c r="E891" s="183">
        <f>IFERROR(__xludf.DUMMYFUNCTION("COUNTIF(FILTER('SM Repository'!$DW$3:$DW$138, 'SM Repository'!DP$3:DP$138 = ""X"", 'SM Repository'!$DW$3:$DW$138 = ""X""), ""X"")"),0.0)</f>
        <v>0</v>
      </c>
      <c r="F891" s="183">
        <f>IFERROR(__xludf.DUMMYFUNCTION("COUNTIF(FILTER('SM Repository'!$DW$3:$DW$138, 'SM Repository'!DQ$3:DQ$138 = ""X"", 'SM Repository'!$DW$3:$DW$138 = ""X""), ""X"")"),0.0)</f>
        <v>0</v>
      </c>
      <c r="G891" s="183">
        <f>IFERROR(__xludf.DUMMYFUNCTION("COUNTIF(FILTER('SM Repository'!$DW$3:$DW$138, 'SM Repository'!DR$3:DR$138 = ""X"", 'SM Repository'!$DW$3:$DW$138 = ""X""), ""X"")"),0.0)</f>
        <v>0</v>
      </c>
    </row>
    <row r="892">
      <c r="A892" s="90" t="s">
        <v>1332</v>
      </c>
      <c r="B892" s="183">
        <f>IFERROR(__xludf.DUMMYFUNCTION("COUNTIF(FILTER('SM Repository'!$DX$3:$DX$138, 'SM Repository'!DM$3:DM$138 = ""X"", 'SM Repository'!$DX$3:$DX$138 = ""X""), ""X"")"),0.0)</f>
        <v>0</v>
      </c>
      <c r="C892" s="183">
        <f>IFERROR(__xludf.DUMMYFUNCTION("COUNTIF(FILTER('SM Repository'!$DX$3:$DX$138, 'SM Repository'!DN$3:DN$138 = ""X"", 'SM Repository'!$DX$3:$DX$138 = ""X""), ""X"")"),0.0)</f>
        <v>0</v>
      </c>
      <c r="D892" s="183">
        <f>IFERROR(__xludf.DUMMYFUNCTION("COUNTIF(FILTER('SM Repository'!$DX$3:$DX$138, 'SM Repository'!DO$3:DO$138 = ""X"", 'SM Repository'!$DX$3:$DX$138 = ""X""), ""X"")"),1.0)</f>
        <v>1</v>
      </c>
      <c r="E892" s="183">
        <f>IFERROR(__xludf.DUMMYFUNCTION("COUNTIF(FILTER('SM Repository'!$DX$3:$DX$138, 'SM Repository'!DP$3:DP$138 = ""X"", 'SM Repository'!$DX$3:$DX$138 = ""X""), ""X"")"),1.0)</f>
        <v>1</v>
      </c>
      <c r="F892" s="183">
        <f>IFERROR(__xludf.DUMMYFUNCTION("COUNTIF(FILTER('SM Repository'!$DX$3:$DX$138, 'SM Repository'!DQ$3:DQ$138 = ""X"", 'SM Repository'!$DX$3:$DX$138 = ""X""), ""X"")"),0.0)</f>
        <v>0</v>
      </c>
      <c r="G892" s="183">
        <f>IFERROR(__xludf.DUMMYFUNCTION("COUNTIF(FILTER('SM Repository'!$DX$3:$DX$138, 'SM Repository'!DR$3:DR$138 = ""X"", 'SM Repository'!$DX$3:$DX$138 = ""X""), ""X"")"),0.0)</f>
        <v>0</v>
      </c>
    </row>
    <row r="893">
      <c r="A893" s="90" t="s">
        <v>189</v>
      </c>
      <c r="B893" s="183">
        <f>IFERROR(__xludf.DUMMYFUNCTION("COUNTIF(FILTER('SM Repository'!$DY$3:$DY$138, 'SM Repository'!DM$3:DM$138 = ""X"", 'SM Repository'!$DY$3:$DY$138 = ""X""), ""X"")"),8.0)</f>
        <v>8</v>
      </c>
      <c r="C893" s="183">
        <f>IFERROR(__xludf.DUMMYFUNCTION("COUNTIF(FILTER('SM Repository'!$DY$3:$DY$138, 'SM Repository'!DN$3:DN$138 = ""X"", 'SM Repository'!$DY$3:$DY$138 = ""X""), ""X"")"),6.0)</f>
        <v>6</v>
      </c>
      <c r="D893" s="183">
        <f>IFERROR(__xludf.DUMMYFUNCTION("COUNTIF(FILTER('SM Repository'!$DY$3:$DY$138, 'SM Repository'!DO$3:DO$138 = ""X"", 'SM Repository'!$DY$3:$DY$138 = ""X""), ""X"")"),8.0)</f>
        <v>8</v>
      </c>
      <c r="E893" s="183">
        <f>IFERROR(__xludf.DUMMYFUNCTION("COUNTIF(FILTER('SM Repository'!$DY$3:$DY$138, 'SM Repository'!DP$3:DP$138 = ""X"", 'SM Repository'!$DY$3:$DY$138 = ""X""), ""X"")"),1.0)</f>
        <v>1</v>
      </c>
      <c r="F893" s="183">
        <f>IFERROR(__xludf.DUMMYFUNCTION("COUNTIF(FILTER('SM Repository'!$DY$3:$DY$138, 'SM Repository'!DQ$3:DQ$138 = ""X"", 'SM Repository'!$DY$3:$DY$138 = ""X""), ""X"")"),1.0)</f>
        <v>1</v>
      </c>
      <c r="G893" s="183">
        <f>IFERROR(__xludf.DUMMYFUNCTION("COUNTIF(FILTER('SM Repository'!$DY$3:$DY$138, 'SM Repository'!DR$3:DR$138 = ""X"", 'SM Repository'!$DY$3:$DY$138 = ""X""), ""X"")"),0.0)</f>
        <v>0</v>
      </c>
    </row>
    <row r="894">
      <c r="A894" s="90" t="s">
        <v>190</v>
      </c>
      <c r="B894" s="183">
        <f>IFERROR(__xludf.DUMMYFUNCTION("COUNTIF(FILTER('SM Repository'!$DZ$3:$DZ$138, 'SM Repository'!DM$3:DM$138 = ""X"", 'SM Repository'!$DZ$3:$DZ$138 = ""X""), ""X"")"),3.0)</f>
        <v>3</v>
      </c>
      <c r="C894" s="183">
        <f>IFERROR(__xludf.DUMMYFUNCTION("COUNTIF(FILTER('SM Repository'!$DZ$3:$DZ$138, 'SM Repository'!DN$3:DN$138 = ""X"", 'SM Repository'!$DZ$3:$DZ$138 = ""X""), ""X"")"),0.0)</f>
        <v>0</v>
      </c>
      <c r="D894" s="183">
        <f>IFERROR(__xludf.DUMMYFUNCTION("COUNTIF(FILTER('SM Repository'!$DZ$3:$DZ$138, 'SM Repository'!DO$3:DO$138 = ""X"", 'SM Repository'!$DZ$3:$DZ$138 = ""X""), ""X"")"),1.0)</f>
        <v>1</v>
      </c>
      <c r="E894" s="183">
        <f>IFERROR(__xludf.DUMMYFUNCTION("COUNTIF(FILTER('SM Repository'!$DZ$3:$DZ$138, 'SM Repository'!DP$3:DP$138 = ""X"", 'SM Repository'!$DZ$3:$DZ$138 = ""X""), ""X"")"),2.0)</f>
        <v>2</v>
      </c>
      <c r="F894" s="183">
        <f>IFERROR(__xludf.DUMMYFUNCTION("COUNTIF(FILTER('SM Repository'!$DZ$3:$DZ$138, 'SM Repository'!DQ$3:DQ$138 = ""X"", 'SM Repository'!$DZ$3:$DZ$138 = ""X""), ""X"")"),5.0)</f>
        <v>5</v>
      </c>
      <c r="G894" s="183">
        <f>IFERROR(__xludf.DUMMYFUNCTION("COUNTIF(FILTER('SM Repository'!$DZ$3:$DZ$138, 'SM Repository'!DR$3:DR$138 = ""X"", 'SM Repository'!$DZ$3:$DZ$138 = ""X""), ""X"")"),0.0)</f>
        <v>0</v>
      </c>
    </row>
    <row r="895">
      <c r="A895" s="90" t="s">
        <v>85</v>
      </c>
      <c r="B895" s="183">
        <f>IFERROR(__xludf.DUMMYFUNCTION("COUNTIF(FILTER('SM Repository'!$EA$3:$EA$138, 'SM Repository'!DM$3:DM$138 = ""X"", 'SM Repository'!$EA$3:$EA$138 = ""X""), ""X"")"),1.0)</f>
        <v>1</v>
      </c>
      <c r="C895" s="183">
        <f>IFERROR(__xludf.DUMMYFUNCTION("COUNTIF(FILTER('SM Repository'!$EA$3:$EA$138, 'SM Repository'!DN$3:DN$138 = ""X"", 'SM Repository'!$EA$3:$EA$138 = ""X""), ""X"")"),1.0)</f>
        <v>1</v>
      </c>
      <c r="D895" s="183">
        <f>IFERROR(__xludf.DUMMYFUNCTION("COUNTIF(FILTER('SM Repository'!$EA$3:$EA$138, 'SM Repository'!DO$3:DO$138 = ""X"", 'SM Repository'!$EA$3:$EA$138 = ""X""), ""X"")"),1.0)</f>
        <v>1</v>
      </c>
      <c r="E895" s="183">
        <f>IFERROR(__xludf.DUMMYFUNCTION("COUNTIF(FILTER('SM Repository'!$EA$3:$EA$138, 'SM Repository'!DP$3:DP$138 = ""X"", 'SM Repository'!$EA$3:$EA$138 = ""X""), ""X"")"),0.0)</f>
        <v>0</v>
      </c>
      <c r="F895" s="183">
        <f>IFERROR(__xludf.DUMMYFUNCTION("COUNTIF(FILTER('SM Repository'!$EA$3:$EA$138, 'SM Repository'!DQ$3:DQ$138 = ""X"", 'SM Repository'!$EA$3:$EA$138 = ""X""), ""X"")"),0.0)</f>
        <v>0</v>
      </c>
      <c r="G895" s="183">
        <f>IFERROR(__xludf.DUMMYFUNCTION("COUNTIF(FILTER('SM Repository'!$EA$3:$EA$138, 'SM Repository'!DR$3:DR$138 = ""X"", 'SM Repository'!$EA$3:$EA$138 = ""X""), ""X"")"),0.0)</f>
        <v>0</v>
      </c>
    </row>
    <row r="902">
      <c r="A902" s="115" t="s">
        <v>1333</v>
      </c>
    </row>
    <row r="903">
      <c r="A903" s="178"/>
      <c r="B903" s="80" t="s">
        <v>1334</v>
      </c>
      <c r="C903" s="80" t="s">
        <v>1335</v>
      </c>
      <c r="D903" s="87" t="s">
        <v>1333</v>
      </c>
    </row>
    <row r="904">
      <c r="A904" s="171">
        <v>2001.0</v>
      </c>
      <c r="B904" s="61">
        <f>IFERROR(__xludf.DUMMYFUNCTION("COUNTIF(FILTER('SLR Repository'!GM:GM, 'SLR Repository'!H:H= $A904, 'SLR Repository'!GM:GM &lt;&gt; """"), ""x"")"),0.0)</f>
        <v>0</v>
      </c>
      <c r="C904" s="61">
        <f t="shared" ref="C904:C916" si="103">D904-B904</f>
        <v>1</v>
      </c>
      <c r="D904" s="61">
        <f>IFERROR(__xludf.DUMMYFUNCTION("COUNTIF(FILTER('SLR Repository'!BD:BD, 'SLR Repository'!H:H = $A904, 'SLR Repository'!BD:BD &lt;&gt; """"), ""x"")"),1.0)</f>
        <v>1</v>
      </c>
    </row>
    <row r="905">
      <c r="A905" s="172">
        <f t="shared" ref="A905:A916" si="104">A904+1</f>
        <v>2002</v>
      </c>
      <c r="B905" s="61">
        <f>IFERROR(__xludf.DUMMYFUNCTION("COUNTIF(FILTER('SLR Repository'!GM:GM, 'SLR Repository'!H:H= $A905, 'SLR Repository'!GM:GM &lt;&gt; """"), ""x"")"),0.0)</f>
        <v>0</v>
      </c>
      <c r="C905" s="61">
        <f t="shared" si="103"/>
        <v>4</v>
      </c>
      <c r="D905" s="61">
        <f>IFERROR(__xludf.DUMMYFUNCTION("COUNTIF(FILTER('SLR Repository'!BD:BD, 'SLR Repository'!H:H = $A905, 'SLR Repository'!BD:BD &lt;&gt; """"), ""x"")"),4.0)</f>
        <v>4</v>
      </c>
    </row>
    <row r="906">
      <c r="A906" s="172">
        <f t="shared" si="104"/>
        <v>2003</v>
      </c>
      <c r="B906" s="61">
        <f>IFERROR(__xludf.DUMMYFUNCTION("COUNTIF(FILTER('SLR Repository'!GM:GM, 'SLR Repository'!H:H= $A906, 'SLR Repository'!GM:GM &lt;&gt; """"), ""x"")"),0.0)</f>
        <v>0</v>
      </c>
      <c r="C906" s="61">
        <f t="shared" si="103"/>
        <v>0</v>
      </c>
      <c r="D906" s="61">
        <f>IFERROR(__xludf.DUMMYFUNCTION("COUNTIF(FILTER('SLR Repository'!BD:BD, 'SLR Repository'!H:H = $A906, 'SLR Repository'!BD:BD &lt;&gt; """"), ""x"")"),0.0)</f>
        <v>0</v>
      </c>
    </row>
    <row r="907">
      <c r="A907" s="172">
        <f t="shared" si="104"/>
        <v>2004</v>
      </c>
      <c r="B907" s="61">
        <f>IFERROR(__xludf.DUMMYFUNCTION("COUNTIF(FILTER('SLR Repository'!GM:GM, 'SLR Repository'!H:H= $A907, 'SLR Repository'!GM:GM &lt;&gt; """"), ""x"")"),0.0)</f>
        <v>0</v>
      </c>
      <c r="C907" s="61">
        <f t="shared" si="103"/>
        <v>3</v>
      </c>
      <c r="D907" s="61">
        <f>IFERROR(__xludf.DUMMYFUNCTION("COUNTIF(FILTER('SLR Repository'!BD:BD, 'SLR Repository'!H:H = $A907, 'SLR Repository'!BD:BD &lt;&gt; """"), ""x"")"),3.0)</f>
        <v>3</v>
      </c>
    </row>
    <row r="908">
      <c r="A908" s="172">
        <f t="shared" si="104"/>
        <v>2005</v>
      </c>
      <c r="B908" s="61">
        <f>IFERROR(__xludf.DUMMYFUNCTION("COUNTIF(FILTER('SLR Repository'!GM:GM, 'SLR Repository'!H:H= $A908, 'SLR Repository'!GM:GM &lt;&gt; """"), ""x"")"),1.0)</f>
        <v>1</v>
      </c>
      <c r="C908" s="61">
        <f t="shared" si="103"/>
        <v>3</v>
      </c>
      <c r="D908" s="61">
        <f>IFERROR(__xludf.DUMMYFUNCTION("COUNTIF(FILTER('SLR Repository'!BD:BD, 'SLR Repository'!H:H = $A908, 'SLR Repository'!BD:BD &lt;&gt; """"), ""x"")"),4.0)</f>
        <v>4</v>
      </c>
    </row>
    <row r="909">
      <c r="A909" s="172">
        <f t="shared" si="104"/>
        <v>2006</v>
      </c>
      <c r="B909" s="61">
        <f>IFERROR(__xludf.DUMMYFUNCTION("COUNTIF(FILTER('SLR Repository'!GM:GM, 'SLR Repository'!H:H= $A909, 'SLR Repository'!GM:GM &lt;&gt; """"), ""x"")"),0.0)</f>
        <v>0</v>
      </c>
      <c r="C909" s="61">
        <f t="shared" si="103"/>
        <v>2</v>
      </c>
      <c r="D909" s="61">
        <f>IFERROR(__xludf.DUMMYFUNCTION("COUNTIF(FILTER('SLR Repository'!BD:BD, 'SLR Repository'!H:H = $A909, 'SLR Repository'!BD:BD &lt;&gt; """"), ""x"")"),2.0)</f>
        <v>2</v>
      </c>
    </row>
    <row r="910">
      <c r="A910" s="172">
        <f t="shared" si="104"/>
        <v>2007</v>
      </c>
      <c r="B910" s="61">
        <f>IFERROR(__xludf.DUMMYFUNCTION("COUNTIF(FILTER('SLR Repository'!GM:GM, 'SLR Repository'!H:H= $A910, 'SLR Repository'!GM:GM &lt;&gt; """"), ""x"")"),0.0)</f>
        <v>0</v>
      </c>
      <c r="C910" s="61">
        <f t="shared" si="103"/>
        <v>2</v>
      </c>
      <c r="D910" s="61">
        <f>IFERROR(__xludf.DUMMYFUNCTION("COUNTIF(FILTER('SLR Repository'!BD:BD, 'SLR Repository'!H:H = $A910, 'SLR Repository'!BD:BD &lt;&gt; """"), ""x"")"),2.0)</f>
        <v>2</v>
      </c>
    </row>
    <row r="911">
      <c r="A911" s="172">
        <f t="shared" si="104"/>
        <v>2008</v>
      </c>
      <c r="B911" s="61">
        <f>IFERROR(__xludf.DUMMYFUNCTION("COUNTIF(FILTER('SLR Repository'!GM:GM, 'SLR Repository'!H:H= $A911, 'SLR Repository'!GM:GM &lt;&gt; """"), ""x"")"),1.0)</f>
        <v>1</v>
      </c>
      <c r="C911" s="61">
        <f t="shared" si="103"/>
        <v>5</v>
      </c>
      <c r="D911" s="61">
        <f>IFERROR(__xludf.DUMMYFUNCTION("COUNTIF(FILTER('SLR Repository'!BD:BD, 'SLR Repository'!H:H = $A911, 'SLR Repository'!BD:BD &lt;&gt; """"), ""x"")"),6.0)</f>
        <v>6</v>
      </c>
    </row>
    <row r="912">
      <c r="A912" s="172">
        <f t="shared" si="104"/>
        <v>2009</v>
      </c>
      <c r="B912" s="61">
        <f>IFERROR(__xludf.DUMMYFUNCTION("COUNTIF(FILTER('SLR Repository'!GM:GM, 'SLR Repository'!H:H= $A912, 'SLR Repository'!GM:GM &lt;&gt; """"), ""x"")"),1.0)</f>
        <v>1</v>
      </c>
      <c r="C912" s="61">
        <f t="shared" si="103"/>
        <v>2</v>
      </c>
      <c r="D912" s="61">
        <f>IFERROR(__xludf.DUMMYFUNCTION("COUNTIF(FILTER('SLR Repository'!BD:BD, 'SLR Repository'!H:H = $A912, 'SLR Repository'!BD:BD &lt;&gt; """"), ""x"")"),3.0)</f>
        <v>3</v>
      </c>
    </row>
    <row r="913">
      <c r="A913" s="172">
        <f t="shared" si="104"/>
        <v>2010</v>
      </c>
      <c r="B913" s="61">
        <f>IFERROR(__xludf.DUMMYFUNCTION("COUNTIF(FILTER('SLR Repository'!GM:GM, 'SLR Repository'!H:H= $A913, 'SLR Repository'!GM:GM &lt;&gt; """"), ""x"")"),2.0)</f>
        <v>2</v>
      </c>
      <c r="C913" s="61">
        <f t="shared" si="103"/>
        <v>9</v>
      </c>
      <c r="D913" s="61">
        <f>IFERROR(__xludf.DUMMYFUNCTION("COUNTIF(FILTER('SLR Repository'!BD:BD, 'SLR Repository'!H:H = $A913, 'SLR Repository'!BD:BD &lt;&gt; """"), ""x"")"),11.0)</f>
        <v>11</v>
      </c>
    </row>
    <row r="914">
      <c r="A914" s="172">
        <f t="shared" si="104"/>
        <v>2011</v>
      </c>
      <c r="B914" s="61">
        <f>IFERROR(__xludf.DUMMYFUNCTION("COUNTIF(FILTER('SLR Repository'!GM:GM, 'SLR Repository'!H:H= $A914, 'SLR Repository'!GM:GM &lt;&gt; """"), ""x"")"),1.0)</f>
        <v>1</v>
      </c>
      <c r="C914" s="61">
        <f t="shared" si="103"/>
        <v>6</v>
      </c>
      <c r="D914" s="61">
        <f>IFERROR(__xludf.DUMMYFUNCTION("COUNTIF(FILTER('SLR Repository'!BD:BD, 'SLR Repository'!H:H = $A914, 'SLR Repository'!BD:BD &lt;&gt; """"), ""x"")"),7.0)</f>
        <v>7</v>
      </c>
    </row>
    <row r="915">
      <c r="A915" s="172">
        <f t="shared" si="104"/>
        <v>2012</v>
      </c>
      <c r="B915" s="61">
        <f>IFERROR(__xludf.DUMMYFUNCTION("COUNTIF(FILTER('SLR Repository'!GM:GM, 'SLR Repository'!H:H= $A915, 'SLR Repository'!GM:GM &lt;&gt; """"), ""x"")"),3.0)</f>
        <v>3</v>
      </c>
      <c r="C915" s="61">
        <f t="shared" si="103"/>
        <v>2</v>
      </c>
      <c r="D915" s="61">
        <f>IFERROR(__xludf.DUMMYFUNCTION("COUNTIF(FILTER('SLR Repository'!BD:BD, 'SLR Repository'!H:H = $A915, 'SLR Repository'!BD:BD &lt;&gt; """"), ""x"")"),5.0)</f>
        <v>5</v>
      </c>
    </row>
    <row r="916">
      <c r="A916" s="172">
        <f t="shared" si="104"/>
        <v>2013</v>
      </c>
      <c r="B916" s="61">
        <f>IFERROR(__xludf.DUMMYFUNCTION("COUNTIF(FILTER('SLR Repository'!GM:GM, 'SLR Repository'!H:H= $A916, 'SLR Repository'!GM:GM &lt;&gt; """"), ""x"")"),2.0)</f>
        <v>2</v>
      </c>
      <c r="C916" s="61">
        <f t="shared" si="103"/>
        <v>2</v>
      </c>
      <c r="D916" s="61">
        <f>IFERROR(__xludf.DUMMYFUNCTION("COUNTIF(FILTER('SLR Repository'!BD:BD, 'SLR Repository'!H:H = $A916, 'SLR Repository'!BD:BD &lt;&gt; """"), ""x"")"),4.0)</f>
        <v>4</v>
      </c>
    </row>
    <row r="917">
      <c r="B917" s="13">
        <f t="shared" ref="B917:D917" si="105">sum(B904:B916)</f>
        <v>11</v>
      </c>
      <c r="C917" s="13">
        <f t="shared" si="105"/>
        <v>41</v>
      </c>
      <c r="D917" s="13">
        <f t="shared" si="105"/>
        <v>52</v>
      </c>
    </row>
    <row r="926">
      <c r="C926" s="47" t="s">
        <v>36</v>
      </c>
      <c r="D926" s="48"/>
      <c r="E926" s="48"/>
      <c r="F926" s="48"/>
      <c r="G926" s="48"/>
      <c r="H926" s="48"/>
      <c r="I926" s="48"/>
      <c r="J926" s="48"/>
      <c r="K926" s="48"/>
      <c r="L926" s="48"/>
    </row>
    <row r="927">
      <c r="C927" s="64" t="s">
        <v>76</v>
      </c>
      <c r="D927" s="64" t="s">
        <v>1336</v>
      </c>
      <c r="E927" s="64" t="s">
        <v>78</v>
      </c>
      <c r="F927" s="64" t="s">
        <v>79</v>
      </c>
      <c r="G927" s="64" t="s">
        <v>1337</v>
      </c>
      <c r="H927" s="64" t="s">
        <v>1338</v>
      </c>
      <c r="I927" s="64" t="s">
        <v>82</v>
      </c>
      <c r="J927" s="64" t="s">
        <v>83</v>
      </c>
      <c r="K927" s="64" t="s">
        <v>84</v>
      </c>
      <c r="L927" s="64" t="s">
        <v>85</v>
      </c>
    </row>
    <row r="928">
      <c r="B928" s="80" t="s">
        <v>1339</v>
      </c>
      <c r="C928" s="61">
        <f>'SLR Repository'!HQ98</f>
        <v>5</v>
      </c>
      <c r="D928" s="61">
        <f>'SLR Repository'!HR98</f>
        <v>3</v>
      </c>
      <c r="E928" s="61">
        <f>'SLR Repository'!HS98</f>
        <v>2</v>
      </c>
      <c r="F928" s="61">
        <f>'SLR Repository'!HT98</f>
        <v>4</v>
      </c>
      <c r="G928" s="61">
        <f>'SLR Repository'!HU98</f>
        <v>5</v>
      </c>
      <c r="H928" s="61">
        <f>'SLR Repository'!HV98</f>
        <v>0</v>
      </c>
      <c r="I928" s="61">
        <f>'SLR Repository'!HW98</f>
        <v>5</v>
      </c>
      <c r="J928" s="61">
        <f>'SLR Repository'!HX98</f>
        <v>3</v>
      </c>
      <c r="K928" s="61">
        <f>'SLR Repository'!HY98</f>
        <v>4</v>
      </c>
      <c r="L928" s="61">
        <f>'SLR Repository'!HZ98</f>
        <v>3</v>
      </c>
    </row>
    <row r="929">
      <c r="B929" s="80" t="s">
        <v>1340</v>
      </c>
      <c r="C929" s="61">
        <f>'SLR Repository'!AR98</f>
        <v>7</v>
      </c>
      <c r="D929" s="61">
        <f>'SLR Repository'!AS98</f>
        <v>5</v>
      </c>
      <c r="E929" s="61">
        <f>'SLR Repository'!AT98</f>
        <v>4</v>
      </c>
      <c r="F929" s="61">
        <f>'SLR Repository'!AU98</f>
        <v>6</v>
      </c>
      <c r="G929" s="61">
        <f>'SLR Repository'!AV98</f>
        <v>16</v>
      </c>
      <c r="H929" s="61">
        <f>'SLR Repository'!AW98</f>
        <v>3</v>
      </c>
      <c r="I929" s="61">
        <f>'SLR Repository'!AX98</f>
        <v>5</v>
      </c>
      <c r="J929" s="61">
        <f>'SLR Repository'!AY98</f>
        <v>4</v>
      </c>
      <c r="K929" s="61">
        <f>'SLR Repository'!AZ98</f>
        <v>9</v>
      </c>
      <c r="L929" s="61">
        <f>'SLR Repository'!BA98</f>
        <v>4</v>
      </c>
      <c r="M929" s="80" t="s">
        <v>1341</v>
      </c>
    </row>
    <row r="930">
      <c r="C930" s="205">
        <f t="shared" ref="C930:L930" si="106">C928/C929</f>
        <v>0.7142857143</v>
      </c>
      <c r="D930" s="205">
        <f t="shared" si="106"/>
        <v>0.6</v>
      </c>
      <c r="E930" s="205">
        <f t="shared" si="106"/>
        <v>0.5</v>
      </c>
      <c r="F930" s="205">
        <f t="shared" si="106"/>
        <v>0.6666666667</v>
      </c>
      <c r="G930" s="205">
        <f t="shared" si="106"/>
        <v>0.3125</v>
      </c>
      <c r="H930" s="205">
        <f t="shared" si="106"/>
        <v>0</v>
      </c>
      <c r="I930" s="205">
        <f t="shared" si="106"/>
        <v>1</v>
      </c>
      <c r="J930" s="205">
        <f t="shared" si="106"/>
        <v>0.75</v>
      </c>
      <c r="K930" s="205">
        <f t="shared" si="106"/>
        <v>0.4444444444</v>
      </c>
      <c r="L930" s="205">
        <f t="shared" si="106"/>
        <v>0.75</v>
      </c>
    </row>
    <row r="958">
      <c r="A958" s="53" t="s">
        <v>1342</v>
      </c>
    </row>
    <row r="959">
      <c r="B959" s="80" t="s">
        <v>1343</v>
      </c>
      <c r="C959" s="80" t="s">
        <v>1344</v>
      </c>
      <c r="D959" s="80" t="s">
        <v>1345</v>
      </c>
      <c r="E959" s="80" t="s">
        <v>85</v>
      </c>
    </row>
    <row r="960">
      <c r="A960" s="80" t="s">
        <v>1346</v>
      </c>
      <c r="B960" s="80">
        <v>14.0</v>
      </c>
      <c r="C960" s="80">
        <v>4.0</v>
      </c>
      <c r="D960" s="80">
        <v>9.0</v>
      </c>
      <c r="E960" s="80">
        <v>0.0</v>
      </c>
    </row>
    <row r="961">
      <c r="A961" s="80" t="s">
        <v>1277</v>
      </c>
      <c r="B961" s="80">
        <v>21.0</v>
      </c>
      <c r="C961" s="80">
        <v>12.0</v>
      </c>
      <c r="D961" s="80">
        <v>13.0</v>
      </c>
      <c r="E961" s="80">
        <v>1.0</v>
      </c>
    </row>
    <row r="962">
      <c r="A962" s="80" t="s">
        <v>1278</v>
      </c>
      <c r="B962" s="80">
        <v>4.0</v>
      </c>
      <c r="C962" s="80">
        <v>0.0</v>
      </c>
      <c r="D962" s="80">
        <v>0.0</v>
      </c>
      <c r="E962" s="80">
        <v>0.0</v>
      </c>
    </row>
    <row r="963">
      <c r="A963" s="80" t="s">
        <v>1279</v>
      </c>
      <c r="B963" s="80">
        <v>0.0</v>
      </c>
      <c r="C963" s="80">
        <v>0.0</v>
      </c>
      <c r="D963" s="80">
        <v>0.0</v>
      </c>
      <c r="E963" s="80">
        <v>0.0</v>
      </c>
    </row>
    <row r="968">
      <c r="A968" s="210" t="s">
        <v>1347</v>
      </c>
      <c r="B968" s="80" t="s">
        <v>1348</v>
      </c>
      <c r="C968" s="80" t="s">
        <v>1349</v>
      </c>
      <c r="D968" s="80" t="s">
        <v>1350</v>
      </c>
      <c r="E968" s="80" t="s">
        <v>1351</v>
      </c>
      <c r="F968" s="80" t="s">
        <v>1352</v>
      </c>
      <c r="G968" s="80" t="s">
        <v>1353</v>
      </c>
      <c r="H968" s="80" t="s">
        <v>85</v>
      </c>
    </row>
    <row r="969">
      <c r="A969" s="80" t="s">
        <v>1346</v>
      </c>
      <c r="B969" s="80">
        <v>8.0</v>
      </c>
      <c r="C969" s="80">
        <v>9.0</v>
      </c>
      <c r="D969" s="80">
        <v>4.0</v>
      </c>
      <c r="E969" s="80">
        <v>0.0</v>
      </c>
      <c r="F969" s="80">
        <v>0.0</v>
      </c>
      <c r="G969" s="80">
        <v>0.0</v>
      </c>
      <c r="H969" s="80">
        <v>5.0</v>
      </c>
    </row>
    <row r="970">
      <c r="A970" s="80" t="s">
        <v>1277</v>
      </c>
      <c r="B970" s="80">
        <v>9.0</v>
      </c>
      <c r="C970" s="80">
        <v>15.0</v>
      </c>
      <c r="D970" s="80">
        <v>2.0</v>
      </c>
      <c r="E970" s="80">
        <v>0.0</v>
      </c>
      <c r="F970" s="80">
        <v>0.0</v>
      </c>
      <c r="G970" s="80">
        <v>1.0</v>
      </c>
      <c r="H970" s="80">
        <v>0.0</v>
      </c>
    </row>
    <row r="971">
      <c r="A971" s="80" t="s">
        <v>1278</v>
      </c>
      <c r="B971" s="80">
        <v>3.0</v>
      </c>
      <c r="C971" s="80">
        <v>6.0</v>
      </c>
      <c r="D971" s="80">
        <v>0.0</v>
      </c>
      <c r="E971" s="80">
        <v>0.0</v>
      </c>
      <c r="F971" s="80">
        <v>0.0</v>
      </c>
      <c r="G971" s="80">
        <v>1.0</v>
      </c>
      <c r="H971" s="80">
        <v>1.0</v>
      </c>
    </row>
    <row r="972">
      <c r="A972" s="80" t="s">
        <v>1279</v>
      </c>
      <c r="B972" s="80">
        <v>0.0</v>
      </c>
      <c r="C972" s="80">
        <v>0.0</v>
      </c>
      <c r="D972" s="80">
        <v>0.0</v>
      </c>
      <c r="E972" s="80">
        <v>0.0</v>
      </c>
      <c r="F972" s="80">
        <v>0.0</v>
      </c>
      <c r="G972" s="80">
        <v>0.0</v>
      </c>
      <c r="H972" s="80">
        <v>0.0</v>
      </c>
    </row>
    <row r="975">
      <c r="A975" s="53" t="s">
        <v>1354</v>
      </c>
    </row>
    <row r="976">
      <c r="B976" s="80" t="s">
        <v>1307</v>
      </c>
      <c r="C976" s="80" t="s">
        <v>1355</v>
      </c>
      <c r="D976" s="80" t="s">
        <v>1356</v>
      </c>
      <c r="E976" s="80" t="s">
        <v>1357</v>
      </c>
      <c r="F976" s="80" t="s">
        <v>1358</v>
      </c>
    </row>
    <row r="977">
      <c r="A977" s="80" t="s">
        <v>1276</v>
      </c>
      <c r="B977" s="80">
        <v>36.0</v>
      </c>
      <c r="C977" s="80">
        <v>23.0</v>
      </c>
      <c r="D977" s="80">
        <v>16.0</v>
      </c>
      <c r="E977" s="80">
        <v>8.0</v>
      </c>
      <c r="F977" s="61">
        <f t="shared" ref="F977:F979" si="107">B977-(C977+D977-E977)</f>
        <v>5</v>
      </c>
    </row>
    <row r="978">
      <c r="A978" s="80" t="s">
        <v>1277</v>
      </c>
      <c r="B978" s="80">
        <v>45.0</v>
      </c>
      <c r="C978" s="80">
        <v>29.0</v>
      </c>
      <c r="D978" s="80">
        <v>19.0</v>
      </c>
      <c r="E978" s="80">
        <v>4.0</v>
      </c>
      <c r="F978" s="61">
        <f t="shared" si="107"/>
        <v>1</v>
      </c>
    </row>
    <row r="979">
      <c r="A979" s="80" t="s">
        <v>1278</v>
      </c>
      <c r="B979" s="80">
        <v>13.0</v>
      </c>
      <c r="C979" s="80">
        <v>7.0</v>
      </c>
      <c r="D979" s="80">
        <v>7.0</v>
      </c>
      <c r="E979" s="80">
        <v>1.0</v>
      </c>
      <c r="F979" s="61">
        <f t="shared" si="107"/>
        <v>0</v>
      </c>
    </row>
    <row r="980">
      <c r="A980" s="80" t="s">
        <v>1279</v>
      </c>
      <c r="B980" s="80">
        <v>1.0</v>
      </c>
      <c r="F980" s="80">
        <v>1.0</v>
      </c>
    </row>
    <row r="981">
      <c r="A981" s="80" t="s">
        <v>1359</v>
      </c>
      <c r="B981" s="80">
        <v>0.0</v>
      </c>
    </row>
    <row r="982">
      <c r="A982" s="80" t="s">
        <v>101</v>
      </c>
      <c r="B982" s="80">
        <v>0.0</v>
      </c>
    </row>
    <row r="984">
      <c r="A984" s="211" t="s">
        <v>1360</v>
      </c>
    </row>
    <row r="985">
      <c r="B985" s="80" t="s">
        <v>1361</v>
      </c>
      <c r="C985" s="80" t="s">
        <v>1362</v>
      </c>
    </row>
    <row r="986">
      <c r="A986" s="80" t="s">
        <v>1346</v>
      </c>
      <c r="B986" s="80">
        <v>1.0</v>
      </c>
      <c r="C986" s="80">
        <v>34.0</v>
      </c>
    </row>
    <row r="987">
      <c r="A987" s="80" t="s">
        <v>1277</v>
      </c>
      <c r="B987" s="80">
        <v>3.0</v>
      </c>
      <c r="C987" s="80">
        <v>41.0</v>
      </c>
    </row>
    <row r="988">
      <c r="A988" s="80" t="s">
        <v>1278</v>
      </c>
      <c r="B988" s="80">
        <v>0.0</v>
      </c>
      <c r="C988" s="80">
        <v>13.0</v>
      </c>
    </row>
    <row r="989">
      <c r="A989" s="80" t="s">
        <v>1279</v>
      </c>
      <c r="B989" s="80">
        <v>0.0</v>
      </c>
      <c r="C989" s="80">
        <v>1.0</v>
      </c>
    </row>
    <row r="991">
      <c r="A991" s="211" t="s">
        <v>1363</v>
      </c>
    </row>
    <row r="992">
      <c r="B992" s="80" t="s">
        <v>1364</v>
      </c>
      <c r="C992" s="80" t="s">
        <v>1365</v>
      </c>
    </row>
    <row r="993">
      <c r="A993" s="80" t="s">
        <v>1346</v>
      </c>
      <c r="B993" s="80">
        <v>2.0</v>
      </c>
      <c r="C993" s="80">
        <v>34.0</v>
      </c>
    </row>
    <row r="994">
      <c r="A994" s="80" t="s">
        <v>1277</v>
      </c>
      <c r="B994" s="80">
        <v>9.0</v>
      </c>
      <c r="C994" s="80">
        <v>36.0</v>
      </c>
    </row>
    <row r="995">
      <c r="A995" s="80" t="s">
        <v>1278</v>
      </c>
      <c r="B995" s="80">
        <v>8.0</v>
      </c>
      <c r="C995" s="80">
        <v>5.0</v>
      </c>
    </row>
    <row r="996">
      <c r="A996" s="80" t="s">
        <v>1279</v>
      </c>
      <c r="B996" s="80">
        <v>0.0</v>
      </c>
      <c r="C996" s="80">
        <v>1.0</v>
      </c>
    </row>
  </sheetData>
  <mergeCells count="24">
    <mergeCell ref="A692:B692"/>
    <mergeCell ref="A727:G727"/>
    <mergeCell ref="A759:J759"/>
    <mergeCell ref="A308:C308"/>
    <mergeCell ref="A330:F330"/>
    <mergeCell ref="A388:B388"/>
    <mergeCell ref="A438:C438"/>
    <mergeCell ref="A462:B462"/>
    <mergeCell ref="A3:B3"/>
    <mergeCell ref="A34:B34"/>
    <mergeCell ref="A63:B63"/>
    <mergeCell ref="A161:D161"/>
    <mergeCell ref="A189:D189"/>
    <mergeCell ref="A218:B218"/>
    <mergeCell ref="A284:B284"/>
    <mergeCell ref="A668:B668"/>
    <mergeCell ref="A630:B630"/>
    <mergeCell ref="A817:F817"/>
    <mergeCell ref="C819:E819"/>
    <mergeCell ref="A858:C858"/>
    <mergeCell ref="A810:B810"/>
    <mergeCell ref="A652:D652"/>
    <mergeCell ref="A674:B674"/>
    <mergeCell ref="A613:E613"/>
  </mergeCell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2.75"/>
  <cols>
    <col customWidth="1" min="1" max="1" width="28.88"/>
    <col customWidth="1" min="2" max="2" width="9.25"/>
    <col customWidth="1" min="3" max="3" width="5.88"/>
    <col customWidth="1" min="4" max="4" width="13.75"/>
    <col customWidth="1" min="5" max="5" width="7.38"/>
    <col customWidth="1" min="6" max="6" width="7.75"/>
    <col customWidth="1" min="8" max="13" width="5.25"/>
    <col customWidth="1" min="14" max="14" width="9.38"/>
    <col customWidth="1" min="15" max="15" width="10.0"/>
    <col customWidth="1" min="16" max="16" width="8.5"/>
    <col customWidth="1" min="17" max="17" width="8.38"/>
    <col customWidth="1" min="18" max="18" width="9.5"/>
    <col customWidth="1" min="19" max="19" width="10.25"/>
    <col customWidth="1" min="20" max="20" width="8.38"/>
    <col customWidth="1" min="21" max="21" width="8.63"/>
    <col customWidth="1" min="22" max="22" width="9.88"/>
    <col customWidth="1" min="23" max="23" width="39.13"/>
    <col customWidth="1" min="24" max="24" width="45.38"/>
    <col customWidth="1" min="25" max="25" width="48.88"/>
    <col customWidth="1" min="26" max="26" width="42.5"/>
    <col customWidth="1" min="27" max="27" width="15.13"/>
    <col customWidth="1" min="28" max="28" width="8.0"/>
    <col customWidth="1" hidden="1" min="29" max="29" width="5.63"/>
    <col customWidth="1" min="30" max="30" width="8.25"/>
    <col customWidth="1" min="31" max="31" width="15.13"/>
    <col customWidth="1" min="32" max="32" width="5.25"/>
    <col customWidth="1" min="33" max="33" width="8.63"/>
    <col customWidth="1" min="34" max="34" width="10.13"/>
    <col customWidth="1" min="35" max="35" width="7.63"/>
    <col customWidth="1" hidden="1" min="36" max="40" width="6.88"/>
    <col customWidth="1" hidden="1" min="41" max="41" width="15.13"/>
    <col customWidth="1" min="42" max="42" width="10.38"/>
    <col customWidth="1" min="43" max="45" width="7.0"/>
    <col customWidth="1" min="46" max="46" width="6.63"/>
    <col customWidth="1" min="47" max="47" width="7.0"/>
    <col customWidth="1" hidden="1" min="48" max="48" width="15.13"/>
    <col customWidth="1" min="49" max="51" width="8.5"/>
    <col customWidth="1" min="52" max="52" width="10.5"/>
    <col customWidth="1" min="53" max="53" width="11.63"/>
    <col customWidth="1" min="54" max="54" width="6.88"/>
    <col customWidth="1" min="55" max="55" width="11.5"/>
    <col customWidth="1" min="56" max="58" width="11.38"/>
    <col customWidth="1" min="59" max="59" width="12.75"/>
    <col customWidth="1" min="60" max="60" width="15.13"/>
    <col customWidth="1" min="61" max="61" width="10.5"/>
    <col customWidth="1" min="62" max="62" width="9.13"/>
    <col customWidth="1" min="63" max="63" width="10.5"/>
    <col customWidth="1" min="64" max="64" width="15.0"/>
    <col customWidth="1" min="65" max="66" width="7.5"/>
    <col customWidth="1" min="67" max="67" width="8.25"/>
    <col customWidth="1" min="68" max="68" width="7.63"/>
    <col customWidth="1" min="69" max="71" width="8.25"/>
    <col customWidth="1" min="72" max="72" width="13.75"/>
    <col customWidth="1" min="73" max="73" width="14.13"/>
    <col customWidth="1" min="74" max="74" width="12.88"/>
    <col customWidth="1" min="75" max="76" width="9.0"/>
    <col customWidth="1" min="77" max="77" width="10.5"/>
    <col customWidth="1" min="78" max="78" width="9.13"/>
    <col customWidth="1" min="79" max="79" width="5.25"/>
    <col customWidth="1" min="80" max="80" width="8.75"/>
    <col customWidth="1" min="81" max="81" width="9.25"/>
    <col customWidth="1" min="82" max="82" width="10.5"/>
    <col customWidth="1" min="83" max="83" width="15.13"/>
    <col customWidth="1" min="84" max="84" width="7.38"/>
    <col customWidth="1" min="85" max="86" width="8.13"/>
    <col customWidth="1" min="87" max="87" width="10.75"/>
    <col customWidth="1" min="88" max="88" width="9.63"/>
    <col customWidth="1" min="89" max="89" width="15.13"/>
    <col customWidth="1" min="90" max="90" width="9.63"/>
    <col customWidth="1" min="91" max="91" width="15.13"/>
    <col customWidth="1" min="92" max="92" width="11.63"/>
    <col customWidth="1" min="93" max="93" width="14.13"/>
    <col customWidth="1" min="94" max="94" width="10.88"/>
    <col customWidth="1" min="95" max="95" width="10.0"/>
    <col customWidth="1" min="96" max="96" width="7.88"/>
    <col customWidth="1" hidden="1" min="97" max="97" width="15.13"/>
    <col customWidth="1" min="98" max="102" width="15.13"/>
    <col customWidth="1" min="103" max="103" width="11.38"/>
    <col customWidth="1" min="104" max="104" width="15.13"/>
    <col customWidth="1" min="105" max="105" width="10.5"/>
    <col customWidth="1" min="106" max="106" width="7.75"/>
    <col customWidth="1" min="107" max="107" width="9.25"/>
    <col customWidth="1" min="108" max="108" width="10.75"/>
    <col customWidth="1" min="109" max="109" width="5.25"/>
    <col customWidth="1" min="110" max="111" width="15.13"/>
    <col customWidth="1" hidden="1" min="112" max="112" width="15.13"/>
    <col customWidth="1" min="113" max="114" width="15.13"/>
    <col customWidth="1" hidden="1" min="115" max="116" width="15.13"/>
    <col customWidth="1" min="117" max="118" width="5.75"/>
    <col customWidth="1" min="119" max="119" width="9.5"/>
    <col customWidth="1" min="120" max="120" width="5.0"/>
    <col customWidth="1" min="121" max="121" width="7.75"/>
    <col customWidth="1" min="122" max="122" width="7.5"/>
    <col customWidth="1" min="123" max="123" width="7.0"/>
    <col customWidth="1" min="124" max="124" width="13.5"/>
    <col customWidth="1" min="125" max="128" width="7.0"/>
    <col customWidth="1" min="129" max="129" width="4.5"/>
    <col customWidth="1" min="130" max="130" width="9.13"/>
    <col customWidth="1" min="131" max="131" width="5.13"/>
    <col customWidth="1" min="132" max="133" width="15.13"/>
    <col customWidth="1" min="134" max="134" width="10.38"/>
    <col customWidth="1" min="135" max="135" width="27.75"/>
    <col customWidth="1" min="136" max="138" width="15.13"/>
    <col customWidth="1" min="139" max="139" width="12.5"/>
    <col customWidth="1" min="140" max="140" width="9.13"/>
    <col customWidth="1" hidden="1" min="141" max="141" width="27.63"/>
  </cols>
  <sheetData>
    <row r="1">
      <c r="A1" s="2"/>
      <c r="B1" s="3"/>
      <c r="C1" s="4"/>
      <c r="D1" s="10"/>
      <c r="E1" s="9">
        <f>countif(E3:E81, "")</f>
        <v>0</v>
      </c>
      <c r="F1" s="10"/>
      <c r="G1" s="212" t="s">
        <v>1366</v>
      </c>
      <c r="N1" s="12" t="s">
        <v>1</v>
      </c>
      <c r="W1" s="10"/>
      <c r="X1" s="13" t="str">
        <f t="shared" ref="X1:X2" si="1">iferror(if(find("Pollock", Z1)&gt;0,concat(D1,", "), ""))</f>
        <v/>
      </c>
      <c r="Y1" s="10"/>
      <c r="Z1" s="14" t="s">
        <v>2</v>
      </c>
      <c r="AO1" s="13" t="str">
        <f t="shared" ref="AO1:AO2" si="2">iferror(if(find("Pollock", AP1)&gt;0,concat(R1,", "), ""))</f>
        <v/>
      </c>
      <c r="AP1" s="19" t="s">
        <v>4</v>
      </c>
      <c r="AW1" s="23" t="s">
        <v>7</v>
      </c>
      <c r="BD1" s="24" t="s">
        <v>8</v>
      </c>
      <c r="BG1" s="25" t="s">
        <v>9</v>
      </c>
      <c r="BM1" s="18" t="s">
        <v>10</v>
      </c>
      <c r="BP1" s="16"/>
      <c r="BQ1" s="26" t="s">
        <v>11</v>
      </c>
      <c r="BT1" s="12" t="s">
        <v>12</v>
      </c>
      <c r="CB1" s="27" t="s">
        <v>13</v>
      </c>
      <c r="CN1" s="28" t="s">
        <v>14</v>
      </c>
      <c r="CT1" s="29" t="s">
        <v>15</v>
      </c>
      <c r="CY1" s="12" t="s">
        <v>1367</v>
      </c>
      <c r="DF1" s="39" t="s">
        <v>27</v>
      </c>
      <c r="DH1" s="10"/>
      <c r="DI1" s="40" t="s">
        <v>28</v>
      </c>
      <c r="DK1" s="10"/>
      <c r="DL1" s="10"/>
      <c r="DM1" s="19" t="s">
        <v>30</v>
      </c>
      <c r="DS1" s="41" t="s">
        <v>31</v>
      </c>
      <c r="EB1" s="24" t="s">
        <v>32</v>
      </c>
      <c r="ED1" s="42" t="s">
        <v>33</v>
      </c>
      <c r="EK1" s="213"/>
    </row>
    <row r="2" ht="1.5" customHeight="1">
      <c r="A2" s="29" t="s">
        <v>38</v>
      </c>
      <c r="B2" s="57" t="s">
        <v>39</v>
      </c>
      <c r="C2" s="51" t="s">
        <v>1368</v>
      </c>
      <c r="D2" s="57" t="s">
        <v>46</v>
      </c>
      <c r="E2" s="56" t="s">
        <v>1369</v>
      </c>
      <c r="F2" s="53" t="s">
        <v>42</v>
      </c>
      <c r="G2" s="214" t="s">
        <v>43</v>
      </c>
      <c r="H2" s="58" t="s">
        <v>47</v>
      </c>
      <c r="I2" s="58" t="s">
        <v>48</v>
      </c>
      <c r="J2" s="58" t="s">
        <v>49</v>
      </c>
      <c r="K2" s="58" t="s">
        <v>50</v>
      </c>
      <c r="L2" s="58" t="s">
        <v>51</v>
      </c>
      <c r="M2" s="58" t="s">
        <v>52</v>
      </c>
      <c r="N2" s="59" t="s">
        <v>53</v>
      </c>
      <c r="O2" s="60" t="s">
        <v>54</v>
      </c>
      <c r="P2" s="60" t="s">
        <v>1370</v>
      </c>
      <c r="Q2" s="60" t="s">
        <v>56</v>
      </c>
      <c r="R2" s="60" t="s">
        <v>57</v>
      </c>
      <c r="S2" s="60" t="s">
        <v>58</v>
      </c>
      <c r="T2" s="60" t="s">
        <v>1371</v>
      </c>
      <c r="U2" s="60" t="s">
        <v>60</v>
      </c>
      <c r="V2" s="60" t="s">
        <v>61</v>
      </c>
      <c r="W2" s="57" t="s">
        <v>62</v>
      </c>
      <c r="X2" s="61" t="str">
        <f t="shared" si="1"/>
        <v/>
      </c>
      <c r="Z2" s="62" t="s">
        <v>63</v>
      </c>
      <c r="AA2" s="62" t="s">
        <v>64</v>
      </c>
      <c r="AB2" s="55" t="s">
        <v>65</v>
      </c>
      <c r="AC2" s="55" t="s">
        <v>66</v>
      </c>
      <c r="AD2" s="55" t="s">
        <v>67</v>
      </c>
      <c r="AE2" s="55" t="s">
        <v>66</v>
      </c>
      <c r="AF2" s="55" t="s">
        <v>44</v>
      </c>
      <c r="AG2" s="55" t="s">
        <v>68</v>
      </c>
      <c r="AH2" s="55" t="s">
        <v>69</v>
      </c>
      <c r="AI2" s="63" t="s">
        <v>70</v>
      </c>
      <c r="AJ2" s="55" t="s">
        <v>71</v>
      </c>
      <c r="AK2" s="55" t="s">
        <v>72</v>
      </c>
      <c r="AL2" s="55" t="s">
        <v>73</v>
      </c>
      <c r="AM2" s="55" t="s">
        <v>74</v>
      </c>
      <c r="AN2" s="55" t="s">
        <v>75</v>
      </c>
      <c r="AO2" s="61" t="str">
        <f t="shared" si="2"/>
        <v/>
      </c>
      <c r="AP2" s="65" t="s">
        <v>87</v>
      </c>
      <c r="AQ2" s="65" t="s">
        <v>88</v>
      </c>
      <c r="AR2" s="65" t="s">
        <v>89</v>
      </c>
      <c r="AS2" s="66" t="s">
        <v>90</v>
      </c>
      <c r="AT2" s="66" t="s">
        <v>91</v>
      </c>
      <c r="AU2" s="86" t="s">
        <v>85</v>
      </c>
      <c r="AV2" s="86" t="s">
        <v>92</v>
      </c>
      <c r="AW2" s="215" t="s">
        <v>96</v>
      </c>
      <c r="AX2" s="215" t="s">
        <v>97</v>
      </c>
      <c r="AY2" s="215" t="s">
        <v>98</v>
      </c>
      <c r="AZ2" s="215" t="s">
        <v>99</v>
      </c>
      <c r="BA2" s="215" t="s">
        <v>100</v>
      </c>
      <c r="BB2" s="215" t="s">
        <v>101</v>
      </c>
      <c r="BC2" s="215" t="s">
        <v>85</v>
      </c>
      <c r="BD2" s="88" t="s">
        <v>102</v>
      </c>
      <c r="BE2" s="88" t="s">
        <v>103</v>
      </c>
      <c r="BF2" s="88" t="s">
        <v>104</v>
      </c>
      <c r="BG2" s="199" t="s">
        <v>105</v>
      </c>
      <c r="BH2" s="199" t="s">
        <v>106</v>
      </c>
      <c r="BI2" s="199" t="s">
        <v>107</v>
      </c>
      <c r="BJ2" s="199" t="s">
        <v>108</v>
      </c>
      <c r="BK2" s="199" t="s">
        <v>109</v>
      </c>
      <c r="BL2" s="199" t="s">
        <v>85</v>
      </c>
      <c r="BM2" s="87" t="s">
        <v>112</v>
      </c>
      <c r="BN2" s="87" t="s">
        <v>113</v>
      </c>
      <c r="BO2" s="87" t="s">
        <v>114</v>
      </c>
      <c r="BQ2" s="200" t="s">
        <v>115</v>
      </c>
      <c r="BR2" s="200" t="s">
        <v>116</v>
      </c>
      <c r="BS2" s="200" t="s">
        <v>117</v>
      </c>
      <c r="BT2" s="60" t="s">
        <v>118</v>
      </c>
      <c r="BU2" s="60" t="s">
        <v>119</v>
      </c>
      <c r="BV2" s="60" t="s">
        <v>120</v>
      </c>
      <c r="BW2" s="60" t="s">
        <v>121</v>
      </c>
      <c r="BX2" s="60" t="s">
        <v>122</v>
      </c>
      <c r="BY2" s="60" t="s">
        <v>123</v>
      </c>
      <c r="BZ2" s="60" t="s">
        <v>124</v>
      </c>
      <c r="CA2" s="60" t="s">
        <v>85</v>
      </c>
      <c r="CB2" s="77" t="s">
        <v>125</v>
      </c>
      <c r="CC2" s="77" t="s">
        <v>126</v>
      </c>
      <c r="CD2" s="78" t="s">
        <v>127</v>
      </c>
      <c r="CE2" s="78" t="s">
        <v>128</v>
      </c>
      <c r="CF2" s="77" t="s">
        <v>129</v>
      </c>
      <c r="CG2" s="77" t="s">
        <v>130</v>
      </c>
      <c r="CH2" s="77" t="s">
        <v>131</v>
      </c>
      <c r="CI2" s="77" t="s">
        <v>132</v>
      </c>
      <c r="CJ2" s="77" t="s">
        <v>133</v>
      </c>
      <c r="CK2" s="77" t="s">
        <v>134</v>
      </c>
      <c r="CL2" s="77" t="s">
        <v>85</v>
      </c>
      <c r="CM2" s="77" t="s">
        <v>92</v>
      </c>
      <c r="CN2" s="56" t="s">
        <v>135</v>
      </c>
      <c r="CO2" s="56" t="s">
        <v>136</v>
      </c>
      <c r="CP2" s="56" t="s">
        <v>137</v>
      </c>
      <c r="CQ2" s="56" t="s">
        <v>138</v>
      </c>
      <c r="CR2" s="56" t="s">
        <v>85</v>
      </c>
      <c r="CS2" s="56" t="s">
        <v>92</v>
      </c>
      <c r="CT2" s="57" t="s">
        <v>139</v>
      </c>
      <c r="CU2" s="57" t="s">
        <v>140</v>
      </c>
      <c r="CV2" s="57" t="s">
        <v>141</v>
      </c>
      <c r="CW2" s="57" t="s">
        <v>142</v>
      </c>
      <c r="CX2" s="57" t="s">
        <v>143</v>
      </c>
      <c r="CY2" s="60" t="s">
        <v>1372</v>
      </c>
      <c r="CZ2" s="60" t="s">
        <v>160</v>
      </c>
      <c r="DA2" s="60" t="s">
        <v>161</v>
      </c>
      <c r="DB2" s="60" t="s">
        <v>162</v>
      </c>
      <c r="DC2" s="60" t="s">
        <v>147</v>
      </c>
      <c r="DD2" s="60" t="s">
        <v>163</v>
      </c>
      <c r="DE2" s="60" t="s">
        <v>85</v>
      </c>
      <c r="DF2" s="85" t="s">
        <v>182</v>
      </c>
      <c r="DG2" s="85" t="s">
        <v>183</v>
      </c>
      <c r="DI2" s="77" t="s">
        <v>184</v>
      </c>
      <c r="DJ2" s="77" t="s">
        <v>185</v>
      </c>
      <c r="DM2" s="86" t="s">
        <v>186</v>
      </c>
      <c r="DN2" s="86" t="s">
        <v>187</v>
      </c>
      <c r="DO2" s="86" t="s">
        <v>188</v>
      </c>
      <c r="DP2" s="86" t="s">
        <v>189</v>
      </c>
      <c r="DQ2" s="86" t="s">
        <v>190</v>
      </c>
      <c r="DR2" s="86" t="s">
        <v>85</v>
      </c>
      <c r="DS2" s="87" t="s">
        <v>191</v>
      </c>
      <c r="DT2" s="87" t="s">
        <v>192</v>
      </c>
      <c r="DU2" s="87" t="s">
        <v>193</v>
      </c>
      <c r="DV2" s="87" t="s">
        <v>194</v>
      </c>
      <c r="DW2" s="87" t="s">
        <v>195</v>
      </c>
      <c r="DX2" s="87" t="s">
        <v>196</v>
      </c>
      <c r="DY2" s="87" t="s">
        <v>189</v>
      </c>
      <c r="DZ2" s="87" t="s">
        <v>190</v>
      </c>
      <c r="EA2" s="87" t="s">
        <v>85</v>
      </c>
      <c r="EB2" s="88" t="s">
        <v>197</v>
      </c>
      <c r="EC2" s="88" t="s">
        <v>198</v>
      </c>
      <c r="ED2" s="89" t="s">
        <v>199</v>
      </c>
      <c r="EE2" s="90" t="s">
        <v>200</v>
      </c>
      <c r="EF2" s="91" t="s">
        <v>201</v>
      </c>
      <c r="EG2" s="90" t="s">
        <v>202</v>
      </c>
      <c r="EH2" s="90" t="s">
        <v>203</v>
      </c>
      <c r="EI2" s="90" t="s">
        <v>204</v>
      </c>
      <c r="EJ2" s="90" t="s">
        <v>205</v>
      </c>
      <c r="EK2" s="57" t="s">
        <v>1373</v>
      </c>
    </row>
    <row r="3" ht="11.25" customHeight="1">
      <c r="A3" s="80" t="s">
        <v>207</v>
      </c>
      <c r="B3" s="106" t="s">
        <v>208</v>
      </c>
      <c r="C3" s="80" t="s">
        <v>209</v>
      </c>
      <c r="D3" s="80" t="s">
        <v>212</v>
      </c>
      <c r="E3" s="80" t="s">
        <v>217</v>
      </c>
      <c r="F3" s="80" t="s">
        <v>210</v>
      </c>
      <c r="G3" s="80" t="s">
        <v>211</v>
      </c>
      <c r="H3" s="61">
        <f t="shared" ref="H3:H81" si="3">if(AND(C3="Aysu", F3="Vahid"), 1, "")</f>
        <v>1</v>
      </c>
      <c r="I3" s="61" t="str">
        <f t="shared" ref="I3:I81" si="4">if(AND(C3="Aysu", F3="Ali"), 1, "")</f>
        <v/>
      </c>
      <c r="J3" s="61" t="str">
        <f t="shared" ref="J3:J81" si="5">if(AND(C3="Vahid", F3="Aysu"), 1, "")</f>
        <v/>
      </c>
      <c r="K3" s="61" t="str">
        <f t="shared" ref="K3:K81" si="6">if(AND(C3="Vahid", F3="Ali"), 1, "")</f>
        <v/>
      </c>
      <c r="L3" s="61" t="str">
        <f t="shared" ref="L3:L81" si="7">if(AND(C3="Ali", F3="Vahid"), 1, "")</f>
        <v/>
      </c>
      <c r="M3" s="61" t="str">
        <f t="shared" ref="M3:M81" si="8">if(AND(C3="Ali", F3="Aysu"), 1, "")</f>
        <v/>
      </c>
      <c r="N3" s="61" t="b">
        <f t="shared" ref="N3:N51" si="9">and(O3,S3)</f>
        <v>1</v>
      </c>
      <c r="O3" s="61" t="b">
        <f t="shared" ref="O3:O18" si="10">SUM(P3:R3)&gt;=2</f>
        <v>1</v>
      </c>
      <c r="P3" s="80">
        <v>1.0</v>
      </c>
      <c r="Q3" s="80">
        <v>1.0</v>
      </c>
      <c r="R3" s="80">
        <v>1.0</v>
      </c>
      <c r="S3" s="61" t="b">
        <f t="shared" ref="S3:S51" si="11">SUM(T3:V3)&gt;=2</f>
        <v>1</v>
      </c>
      <c r="T3" s="80">
        <v>0.0</v>
      </c>
      <c r="U3" s="80">
        <v>1.0</v>
      </c>
      <c r="V3" s="80">
        <v>1.0</v>
      </c>
      <c r="X3" s="61" t="str">
        <f>concat(D3,", ")</f>
        <v>Tonella:wse04, </v>
      </c>
      <c r="Y3" s="61" t="str">
        <f t="shared" ref="Y3:Y81" si="12">if(DY3="x",concat(D3,", "), "")</f>
        <v/>
      </c>
      <c r="Z3" s="114" t="s">
        <v>213</v>
      </c>
      <c r="AA3" s="80" t="s">
        <v>214</v>
      </c>
      <c r="AC3" s="61">
        <f>countif('Charts-SLR'!A:A,AA3)</f>
        <v>1</v>
      </c>
      <c r="AD3" s="80" t="s">
        <v>215</v>
      </c>
      <c r="AE3" s="61">
        <f t="shared" ref="AE3:AE81" si="13">countif({},AD3)</f>
        <v>0</v>
      </c>
      <c r="AF3" s="80">
        <v>2004.0</v>
      </c>
      <c r="AG3" s="80" t="s">
        <v>216</v>
      </c>
      <c r="AH3" s="80">
        <v>37.0</v>
      </c>
      <c r="AI3" s="108">
        <f t="shared" ref="AI3:AI81" si="14">AH3/(2012-AF3)</f>
        <v>4.625</v>
      </c>
      <c r="AJ3" s="61" t="str">
        <f t="shared" ref="AJ3:AJ81" si="15">if(AG3="J",AH3,"")</f>
        <v/>
      </c>
      <c r="AK3" s="61" t="str">
        <f t="shared" ref="AK3:AK81" si="16">if(AG3="C",AH3,"")</f>
        <v/>
      </c>
      <c r="AL3" s="61">
        <f t="shared" ref="AL3:AL81" si="17">if(AG3="W", AH3,"")</f>
        <v>37</v>
      </c>
      <c r="AM3" s="61" t="str">
        <f t="shared" ref="AM3:AM81" si="18">if(AG3="M",AH3,"")</f>
        <v/>
      </c>
      <c r="AN3" s="61" t="str">
        <f t="shared" ref="AN3:AN81" si="19">if(AG3="S",AH3,"")</f>
        <v/>
      </c>
      <c r="AO3" s="61" t="str">
        <f t="shared" ref="AO3:AO81" si="20">if(AU3="x",concat(D3,", "), "")</f>
        <v/>
      </c>
      <c r="AR3" s="80" t="s">
        <v>217</v>
      </c>
      <c r="AV3" s="61">
        <f t="shared" ref="AV3:AV81" si="21">COUNTA(AP3:AU3)</f>
        <v>1</v>
      </c>
      <c r="AW3" s="80" t="s">
        <v>217</v>
      </c>
      <c r="BD3" s="80" t="s">
        <v>217</v>
      </c>
      <c r="BG3" s="80" t="s">
        <v>217</v>
      </c>
      <c r="BO3" s="216" t="s">
        <v>217</v>
      </c>
      <c r="BS3" s="80" t="s">
        <v>217</v>
      </c>
      <c r="BT3" s="80" t="s">
        <v>217</v>
      </c>
      <c r="CE3" s="80" t="s">
        <v>217</v>
      </c>
      <c r="CM3" s="61">
        <f t="shared" ref="CM3:CM81" si="22">counta(CB3:CL3)</f>
        <v>1</v>
      </c>
      <c r="CN3" s="80" t="s">
        <v>217</v>
      </c>
      <c r="CS3" s="61">
        <f t="shared" ref="CS3:CS81" si="23">counta(CN3:CR3)</f>
        <v>1</v>
      </c>
      <c r="CT3" s="80" t="s">
        <v>217</v>
      </c>
      <c r="CV3" s="61" t="str">
        <f t="shared" ref="CV3:CV81" si="24">if(and(CT3="x",CU3="x"), "both", "")</f>
        <v/>
      </c>
      <c r="CW3" s="61" t="str">
        <f t="shared" ref="CW3:CW81" si="25">if(and(CT3="x",CU3=""), "FM", "")</f>
        <v>FM</v>
      </c>
      <c r="CX3" s="61" t="str">
        <f t="shared" ref="CX3:CX81" si="26">if(and(CU3="x",CT3=""), "FA", "")</f>
        <v/>
      </c>
      <c r="CY3" s="217" t="s">
        <v>217</v>
      </c>
      <c r="DA3" s="80" t="s">
        <v>221</v>
      </c>
      <c r="DD3" s="80" t="s">
        <v>217</v>
      </c>
      <c r="DG3" s="80" t="s">
        <v>217</v>
      </c>
      <c r="DH3" s="61" t="str">
        <f t="shared" ref="DH3:DH81" si="27">if(and(DF3="",DG3=""), "both", "")</f>
        <v/>
      </c>
      <c r="DI3" s="80" t="s">
        <v>217</v>
      </c>
      <c r="DK3" s="61" t="str">
        <f t="shared" ref="DK3:DK36" si="28">if(and(DJ3="x",DI3="x"), "both", "")</f>
        <v/>
      </c>
      <c r="DL3" s="61" t="str">
        <f t="shared" ref="DL3:DL36" si="29">if(and(DI3="",DJ3=""), "none", "")</f>
        <v/>
      </c>
      <c r="DM3" s="80" t="s">
        <v>217</v>
      </c>
      <c r="DO3" s="80" t="s">
        <v>217</v>
      </c>
      <c r="DS3" s="80" t="s">
        <v>217</v>
      </c>
      <c r="ED3" s="80">
        <v>1.0</v>
      </c>
      <c r="EE3" s="114" t="s">
        <v>222</v>
      </c>
      <c r="EF3" s="112">
        <v>556.0</v>
      </c>
      <c r="EG3" s="80" t="s">
        <v>223</v>
      </c>
      <c r="EI3" s="80" t="s">
        <v>217</v>
      </c>
    </row>
    <row r="4" ht="13.5" customHeight="1">
      <c r="A4" s="80" t="s">
        <v>225</v>
      </c>
      <c r="B4" s="106" t="s">
        <v>226</v>
      </c>
      <c r="C4" s="80" t="s">
        <v>209</v>
      </c>
      <c r="D4" s="80" t="s">
        <v>228</v>
      </c>
      <c r="E4" s="80" t="s">
        <v>217</v>
      </c>
      <c r="F4" s="80" t="s">
        <v>210</v>
      </c>
      <c r="G4" s="80" t="s">
        <v>227</v>
      </c>
      <c r="H4" s="61">
        <f t="shared" si="3"/>
        <v>1</v>
      </c>
      <c r="I4" s="61" t="str">
        <f t="shared" si="4"/>
        <v/>
      </c>
      <c r="J4" s="61" t="str">
        <f t="shared" si="5"/>
        <v/>
      </c>
      <c r="K4" s="61" t="str">
        <f t="shared" si="6"/>
        <v/>
      </c>
      <c r="L4" s="61" t="str">
        <f t="shared" si="7"/>
        <v/>
      </c>
      <c r="M4" s="61" t="str">
        <f t="shared" si="8"/>
        <v/>
      </c>
      <c r="N4" s="61" t="b">
        <f t="shared" si="9"/>
        <v>1</v>
      </c>
      <c r="O4" s="61" t="b">
        <f t="shared" si="10"/>
        <v>1</v>
      </c>
      <c r="P4" s="80">
        <v>1.0</v>
      </c>
      <c r="Q4" s="80">
        <v>1.0</v>
      </c>
      <c r="R4" s="80">
        <v>1.0</v>
      </c>
      <c r="S4" s="61" t="b">
        <f t="shared" si="11"/>
        <v>1</v>
      </c>
      <c r="T4" s="80">
        <v>1.0</v>
      </c>
      <c r="U4" s="80">
        <v>1.0</v>
      </c>
      <c r="V4" s="80">
        <v>1.0</v>
      </c>
      <c r="X4" s="61" t="str">
        <f t="shared" ref="X4:X81" si="30">iferror(if(find("Pollock", Z4)&gt;0,concat(D4,", "), ""))</f>
        <v/>
      </c>
      <c r="Y4" s="61" t="str">
        <f t="shared" si="12"/>
        <v/>
      </c>
      <c r="Z4" s="80" t="s">
        <v>229</v>
      </c>
      <c r="AA4" s="80" t="s">
        <v>214</v>
      </c>
      <c r="AC4" s="61">
        <f>countif('Charts-SLR'!A:A,AA4)</f>
        <v>1</v>
      </c>
      <c r="AD4" s="80" t="s">
        <v>230</v>
      </c>
      <c r="AE4" s="61">
        <f t="shared" si="13"/>
        <v>0</v>
      </c>
      <c r="AF4" s="80">
        <v>2008.0</v>
      </c>
      <c r="AG4" s="80" t="s">
        <v>231</v>
      </c>
      <c r="AH4" s="80">
        <v>19.0</v>
      </c>
      <c r="AI4" s="108">
        <f t="shared" si="14"/>
        <v>4.75</v>
      </c>
      <c r="AJ4" s="61">
        <f t="shared" si="15"/>
        <v>19</v>
      </c>
      <c r="AK4" s="61" t="str">
        <f t="shared" si="16"/>
        <v/>
      </c>
      <c r="AL4" s="61" t="str">
        <f t="shared" si="17"/>
        <v/>
      </c>
      <c r="AM4" s="61" t="str">
        <f t="shared" si="18"/>
        <v/>
      </c>
      <c r="AN4" s="61" t="str">
        <f t="shared" si="19"/>
        <v/>
      </c>
      <c r="AO4" s="61" t="str">
        <f t="shared" si="20"/>
        <v>Marchetto:sttt08, </v>
      </c>
      <c r="AU4" s="80" t="s">
        <v>217</v>
      </c>
      <c r="AV4" s="61">
        <f t="shared" si="21"/>
        <v>1</v>
      </c>
      <c r="AY4" s="80" t="s">
        <v>217</v>
      </c>
      <c r="BD4" s="80" t="s">
        <v>217</v>
      </c>
      <c r="BF4" s="80" t="s">
        <v>217</v>
      </c>
      <c r="BG4" s="80" t="s">
        <v>217</v>
      </c>
      <c r="BI4" s="80" t="s">
        <v>217</v>
      </c>
      <c r="BJ4" s="80" t="s">
        <v>217</v>
      </c>
      <c r="BM4" s="80" t="s">
        <v>217</v>
      </c>
      <c r="BO4" s="218" t="str">
        <f t="shared" ref="BO4:BO9" si="31">if(and(BM4="x",BN4="x"), "x", "")</f>
        <v/>
      </c>
      <c r="BQ4" s="80" t="s">
        <v>217</v>
      </c>
      <c r="BS4" s="80" t="s">
        <v>217</v>
      </c>
      <c r="BT4" s="80" t="s">
        <v>217</v>
      </c>
      <c r="BV4" s="80" t="s">
        <v>217</v>
      </c>
      <c r="BY4" s="80" t="s">
        <v>217</v>
      </c>
      <c r="CB4" s="80" t="s">
        <v>217</v>
      </c>
      <c r="CI4" s="80" t="s">
        <v>217</v>
      </c>
      <c r="CK4" s="80" t="s">
        <v>217</v>
      </c>
      <c r="CM4" s="61">
        <f t="shared" si="22"/>
        <v>3</v>
      </c>
      <c r="CN4" s="80" t="s">
        <v>217</v>
      </c>
      <c r="CS4" s="61">
        <f t="shared" si="23"/>
        <v>1</v>
      </c>
      <c r="CU4" s="80" t="s">
        <v>217</v>
      </c>
      <c r="CV4" s="61" t="str">
        <f t="shared" si="24"/>
        <v/>
      </c>
      <c r="CW4" s="61" t="str">
        <f t="shared" si="25"/>
        <v/>
      </c>
      <c r="CX4" s="61" t="str">
        <f t="shared" si="26"/>
        <v>FA</v>
      </c>
      <c r="CZ4" s="80" t="s">
        <v>217</v>
      </c>
      <c r="DG4" s="80" t="s">
        <v>217</v>
      </c>
      <c r="DH4" s="61" t="str">
        <f t="shared" si="27"/>
        <v/>
      </c>
      <c r="DJ4" s="80" t="s">
        <v>217</v>
      </c>
      <c r="DK4" s="61" t="str">
        <f t="shared" si="28"/>
        <v/>
      </c>
      <c r="DL4" s="61" t="str">
        <f t="shared" si="29"/>
        <v/>
      </c>
      <c r="DM4" s="80" t="s">
        <v>217</v>
      </c>
      <c r="DN4" s="80" t="s">
        <v>217</v>
      </c>
      <c r="DO4" s="80" t="s">
        <v>217</v>
      </c>
      <c r="ED4" s="80">
        <v>2.0</v>
      </c>
      <c r="EE4" s="80" t="s">
        <v>240</v>
      </c>
      <c r="EF4" s="112">
        <v>5400.0</v>
      </c>
      <c r="EG4" s="80" t="s">
        <v>241</v>
      </c>
      <c r="EI4" s="80" t="s">
        <v>217</v>
      </c>
    </row>
    <row r="5" ht="1.5" customHeight="1">
      <c r="A5" s="80" t="s">
        <v>243</v>
      </c>
      <c r="B5" s="113" t="s">
        <v>244</v>
      </c>
      <c r="C5" s="80" t="s">
        <v>245</v>
      </c>
      <c r="D5" s="80" t="s">
        <v>246</v>
      </c>
      <c r="E5" s="80" t="s">
        <v>217</v>
      </c>
      <c r="F5" s="80" t="s">
        <v>209</v>
      </c>
      <c r="G5" s="80" t="s">
        <v>211</v>
      </c>
      <c r="H5" s="61" t="str">
        <f t="shared" si="3"/>
        <v/>
      </c>
      <c r="I5" s="61" t="str">
        <f t="shared" si="4"/>
        <v/>
      </c>
      <c r="J5" s="61" t="str">
        <f t="shared" si="5"/>
        <v/>
      </c>
      <c r="K5" s="61" t="str">
        <f t="shared" si="6"/>
        <v/>
      </c>
      <c r="L5" s="61" t="str">
        <f t="shared" si="7"/>
        <v/>
      </c>
      <c r="M5" s="61">
        <f t="shared" si="8"/>
        <v>1</v>
      </c>
      <c r="N5" s="61" t="b">
        <f t="shared" si="9"/>
        <v>1</v>
      </c>
      <c r="O5" s="61" t="b">
        <f t="shared" si="10"/>
        <v>1</v>
      </c>
      <c r="P5" s="80">
        <v>1.0</v>
      </c>
      <c r="Q5" s="80">
        <v>1.0</v>
      </c>
      <c r="R5" s="80">
        <v>1.0</v>
      </c>
      <c r="S5" s="61" t="b">
        <f t="shared" si="11"/>
        <v>1</v>
      </c>
      <c r="T5" s="80">
        <v>1.0</v>
      </c>
      <c r="U5" s="80">
        <v>1.0</v>
      </c>
      <c r="V5" s="80">
        <v>1.0</v>
      </c>
      <c r="X5" s="61" t="str">
        <f t="shared" si="30"/>
        <v/>
      </c>
      <c r="Y5" s="61" t="str">
        <f t="shared" si="12"/>
        <v>Artzi:icse2011, </v>
      </c>
      <c r="Z5" s="114" t="s">
        <v>247</v>
      </c>
      <c r="AA5" s="80" t="s">
        <v>248</v>
      </c>
      <c r="AB5" s="80" t="s">
        <v>217</v>
      </c>
      <c r="AC5" s="80">
        <v>1.0</v>
      </c>
      <c r="AD5" s="80" t="s">
        <v>249</v>
      </c>
      <c r="AE5" s="61">
        <f t="shared" si="13"/>
        <v>0</v>
      </c>
      <c r="AF5" s="80">
        <v>2011.0</v>
      </c>
      <c r="AG5" s="80" t="s">
        <v>250</v>
      </c>
      <c r="AH5" s="80">
        <v>5.0</v>
      </c>
      <c r="AI5" s="108">
        <f t="shared" si="14"/>
        <v>5</v>
      </c>
      <c r="AJ5" s="61" t="str">
        <f t="shared" si="15"/>
        <v/>
      </c>
      <c r="AK5" s="61">
        <f t="shared" si="16"/>
        <v>5</v>
      </c>
      <c r="AL5" s="61" t="str">
        <f t="shared" si="17"/>
        <v/>
      </c>
      <c r="AM5" s="61" t="str">
        <f t="shared" si="18"/>
        <v/>
      </c>
      <c r="AN5" s="61" t="str">
        <f t="shared" si="19"/>
        <v/>
      </c>
      <c r="AO5" s="61" t="str">
        <f t="shared" si="20"/>
        <v/>
      </c>
      <c r="AP5" s="80" t="s">
        <v>217</v>
      </c>
      <c r="AQ5" s="80" t="s">
        <v>217</v>
      </c>
      <c r="AR5" s="80" t="s">
        <v>217</v>
      </c>
      <c r="AV5" s="61">
        <f t="shared" si="21"/>
        <v>3</v>
      </c>
      <c r="AX5" s="80" t="s">
        <v>217</v>
      </c>
      <c r="BF5" s="80" t="s">
        <v>217</v>
      </c>
      <c r="BG5" s="80" t="s">
        <v>217</v>
      </c>
      <c r="BI5" s="80" t="s">
        <v>217</v>
      </c>
      <c r="BJ5" s="80" t="s">
        <v>217</v>
      </c>
      <c r="BM5" s="80" t="s">
        <v>217</v>
      </c>
      <c r="BO5" s="218" t="str">
        <f t="shared" si="31"/>
        <v/>
      </c>
      <c r="BS5" s="80" t="s">
        <v>217</v>
      </c>
      <c r="BT5" s="80" t="s">
        <v>217</v>
      </c>
      <c r="CE5" s="80" t="s">
        <v>217</v>
      </c>
      <c r="CM5" s="61">
        <f t="shared" si="22"/>
        <v>1</v>
      </c>
      <c r="CO5" s="80" t="s">
        <v>217</v>
      </c>
      <c r="CS5" s="61">
        <f t="shared" si="23"/>
        <v>1</v>
      </c>
      <c r="CU5" s="80" t="s">
        <v>217</v>
      </c>
      <c r="CV5" s="61" t="str">
        <f t="shared" si="24"/>
        <v/>
      </c>
      <c r="CW5" s="61" t="str">
        <f t="shared" si="25"/>
        <v/>
      </c>
      <c r="CX5" s="61" t="str">
        <f t="shared" si="26"/>
        <v>FA</v>
      </c>
      <c r="CY5" s="80" t="s">
        <v>217</v>
      </c>
      <c r="DG5" s="80" t="s">
        <v>217</v>
      </c>
      <c r="DH5" s="61" t="str">
        <f t="shared" si="27"/>
        <v/>
      </c>
      <c r="DJ5" s="80" t="s">
        <v>217</v>
      </c>
      <c r="DK5" s="61" t="str">
        <f t="shared" si="28"/>
        <v/>
      </c>
      <c r="DL5" s="61" t="str">
        <f t="shared" si="29"/>
        <v/>
      </c>
      <c r="DM5" s="80" t="s">
        <v>217</v>
      </c>
      <c r="DO5" s="80" t="s">
        <v>217</v>
      </c>
      <c r="DY5" s="80" t="s">
        <v>217</v>
      </c>
      <c r="EB5" s="80" t="s">
        <v>257</v>
      </c>
      <c r="ED5" s="80">
        <v>10.0</v>
      </c>
      <c r="EE5" s="80" t="s">
        <v>258</v>
      </c>
      <c r="EF5" s="112">
        <v>7120.0</v>
      </c>
      <c r="EG5" s="80" t="s">
        <v>259</v>
      </c>
      <c r="EI5" s="80" t="s">
        <v>217</v>
      </c>
    </row>
    <row r="6" ht="1.5" customHeight="1">
      <c r="A6" s="80" t="s">
        <v>1374</v>
      </c>
      <c r="B6" s="113" t="s">
        <v>1375</v>
      </c>
      <c r="C6" s="80" t="s">
        <v>245</v>
      </c>
      <c r="D6" s="80" t="s">
        <v>1376</v>
      </c>
      <c r="E6" s="80" t="s">
        <v>217</v>
      </c>
      <c r="F6" s="80" t="s">
        <v>209</v>
      </c>
      <c r="G6" s="80" t="s">
        <v>211</v>
      </c>
      <c r="H6" s="61" t="str">
        <f t="shared" si="3"/>
        <v/>
      </c>
      <c r="I6" s="61" t="str">
        <f t="shared" si="4"/>
        <v/>
      </c>
      <c r="J6" s="61" t="str">
        <f t="shared" si="5"/>
        <v/>
      </c>
      <c r="K6" s="61" t="str">
        <f t="shared" si="6"/>
        <v/>
      </c>
      <c r="L6" s="61" t="str">
        <f t="shared" si="7"/>
        <v/>
      </c>
      <c r="M6" s="61">
        <f t="shared" si="8"/>
        <v>1</v>
      </c>
      <c r="N6" s="61" t="b">
        <f t="shared" si="9"/>
        <v>1</v>
      </c>
      <c r="O6" s="61" t="b">
        <f t="shared" si="10"/>
        <v>1</v>
      </c>
      <c r="P6" s="80">
        <v>1.0</v>
      </c>
      <c r="Q6" s="80">
        <v>1.0</v>
      </c>
      <c r="R6" s="80">
        <v>1.0</v>
      </c>
      <c r="S6" s="61" t="b">
        <f t="shared" si="11"/>
        <v>1</v>
      </c>
      <c r="T6" s="80">
        <v>1.0</v>
      </c>
      <c r="U6" s="80">
        <v>1.0</v>
      </c>
      <c r="V6" s="80">
        <v>1.0</v>
      </c>
      <c r="X6" s="61" t="str">
        <f t="shared" si="30"/>
        <v>Sampath:ase04, </v>
      </c>
      <c r="Y6" s="61" t="str">
        <f t="shared" si="12"/>
        <v/>
      </c>
      <c r="Z6" s="114" t="s">
        <v>1377</v>
      </c>
      <c r="AA6" s="80" t="s">
        <v>266</v>
      </c>
      <c r="AC6" s="61">
        <f>countif('Charts-SLR'!A:A,AA6)</f>
        <v>1</v>
      </c>
      <c r="AD6" s="80" t="s">
        <v>450</v>
      </c>
      <c r="AE6" s="61">
        <f t="shared" si="13"/>
        <v>0</v>
      </c>
      <c r="AF6" s="80">
        <v>2004.0</v>
      </c>
      <c r="AG6" s="80" t="s">
        <v>250</v>
      </c>
      <c r="AH6" s="80">
        <v>47.0</v>
      </c>
      <c r="AI6" s="108">
        <f t="shared" si="14"/>
        <v>5.875</v>
      </c>
      <c r="AJ6" s="61" t="str">
        <f t="shared" si="15"/>
        <v/>
      </c>
      <c r="AK6" s="61">
        <f t="shared" si="16"/>
        <v>47</v>
      </c>
      <c r="AL6" s="61" t="str">
        <f t="shared" si="17"/>
        <v/>
      </c>
      <c r="AM6" s="61" t="str">
        <f t="shared" si="18"/>
        <v/>
      </c>
      <c r="AN6" s="61" t="str">
        <f t="shared" si="19"/>
        <v/>
      </c>
      <c r="AO6" s="61" t="str">
        <f t="shared" si="20"/>
        <v/>
      </c>
      <c r="AP6" s="80" t="s">
        <v>217</v>
      </c>
      <c r="AS6" s="80" t="s">
        <v>217</v>
      </c>
      <c r="AV6" s="61">
        <f t="shared" si="21"/>
        <v>2</v>
      </c>
      <c r="AX6" s="80" t="s">
        <v>217</v>
      </c>
      <c r="BD6" s="80" t="s">
        <v>217</v>
      </c>
      <c r="BE6" s="80" t="s">
        <v>217</v>
      </c>
      <c r="BG6" s="80" t="s">
        <v>217</v>
      </c>
      <c r="BJ6" s="80" t="s">
        <v>217</v>
      </c>
      <c r="BN6" s="80" t="s">
        <v>217</v>
      </c>
      <c r="BO6" s="218" t="str">
        <f t="shared" si="31"/>
        <v/>
      </c>
      <c r="BQ6" s="80" t="s">
        <v>217</v>
      </c>
      <c r="BR6" s="80" t="s">
        <v>217</v>
      </c>
      <c r="BX6" s="80" t="s">
        <v>217</v>
      </c>
      <c r="CJ6" s="80" t="s">
        <v>217</v>
      </c>
      <c r="CL6" s="80" t="s">
        <v>217</v>
      </c>
      <c r="CM6" s="61">
        <f t="shared" si="22"/>
        <v>2</v>
      </c>
      <c r="CN6" s="80" t="s">
        <v>217</v>
      </c>
      <c r="CS6" s="61">
        <f t="shared" si="23"/>
        <v>1</v>
      </c>
      <c r="CU6" s="80" t="s">
        <v>217</v>
      </c>
      <c r="CV6" s="61" t="str">
        <f t="shared" si="24"/>
        <v/>
      </c>
      <c r="CW6" s="61" t="str">
        <f t="shared" si="25"/>
        <v/>
      </c>
      <c r="CX6" s="61" t="str">
        <f t="shared" si="26"/>
        <v>FA</v>
      </c>
      <c r="CY6" s="80" t="s">
        <v>217</v>
      </c>
      <c r="CZ6" s="80" t="s">
        <v>217</v>
      </c>
      <c r="DB6" s="80" t="s">
        <v>217</v>
      </c>
      <c r="DE6" s="80" t="s">
        <v>1378</v>
      </c>
      <c r="DG6" s="80" t="s">
        <v>217</v>
      </c>
      <c r="DH6" s="61" t="str">
        <f t="shared" si="27"/>
        <v/>
      </c>
      <c r="DI6" s="80" t="s">
        <v>217</v>
      </c>
      <c r="DK6" s="61" t="str">
        <f t="shared" si="28"/>
        <v/>
      </c>
      <c r="DL6" s="61" t="str">
        <f t="shared" si="29"/>
        <v/>
      </c>
      <c r="DP6" s="80" t="s">
        <v>217</v>
      </c>
      <c r="DT6" s="80" t="s">
        <v>217</v>
      </c>
      <c r="ED6" s="80">
        <v>1.0</v>
      </c>
      <c r="EE6" s="80" t="s">
        <v>296</v>
      </c>
      <c r="EF6" s="112">
        <v>9748.0</v>
      </c>
      <c r="EG6" s="80" t="s">
        <v>297</v>
      </c>
      <c r="EI6" s="80" t="s">
        <v>217</v>
      </c>
      <c r="EK6" s="80" t="s">
        <v>1379</v>
      </c>
    </row>
    <row r="7" ht="1.5" customHeight="1">
      <c r="A7" s="80" t="s">
        <v>261</v>
      </c>
      <c r="B7" s="113" t="s">
        <v>262</v>
      </c>
      <c r="C7" s="80" t="s">
        <v>245</v>
      </c>
      <c r="D7" s="80" t="s">
        <v>263</v>
      </c>
      <c r="E7" s="80" t="s">
        <v>217</v>
      </c>
      <c r="F7" s="80" t="s">
        <v>209</v>
      </c>
      <c r="G7" s="80" t="s">
        <v>211</v>
      </c>
      <c r="H7" s="61" t="str">
        <f t="shared" si="3"/>
        <v/>
      </c>
      <c r="I7" s="61" t="str">
        <f t="shared" si="4"/>
        <v/>
      </c>
      <c r="J7" s="61" t="str">
        <f t="shared" si="5"/>
        <v/>
      </c>
      <c r="K7" s="61" t="str">
        <f t="shared" si="6"/>
        <v/>
      </c>
      <c r="L7" s="61" t="str">
        <f t="shared" si="7"/>
        <v/>
      </c>
      <c r="M7" s="61">
        <f t="shared" si="8"/>
        <v>1</v>
      </c>
      <c r="N7" s="61" t="b">
        <f t="shared" si="9"/>
        <v>1</v>
      </c>
      <c r="O7" s="61" t="b">
        <f t="shared" si="10"/>
        <v>1</v>
      </c>
      <c r="P7" s="80">
        <v>1.0</v>
      </c>
      <c r="Q7" s="80">
        <v>1.0</v>
      </c>
      <c r="R7" s="80">
        <v>1.0</v>
      </c>
      <c r="S7" s="61" t="b">
        <f t="shared" si="11"/>
        <v>1</v>
      </c>
      <c r="T7" s="80">
        <v>1.0</v>
      </c>
      <c r="U7" s="80">
        <v>1.0</v>
      </c>
      <c r="V7" s="80">
        <v>1.0</v>
      </c>
      <c r="W7" s="80" t="s">
        <v>264</v>
      </c>
      <c r="X7" s="61" t="str">
        <f t="shared" si="30"/>
        <v>Sprenkle:icst11, </v>
      </c>
      <c r="Y7" s="61" t="str">
        <f t="shared" si="12"/>
        <v/>
      </c>
      <c r="Z7" s="80" t="s">
        <v>265</v>
      </c>
      <c r="AA7" s="80" t="s">
        <v>266</v>
      </c>
      <c r="AC7" s="61">
        <f>countif('Charts-SLR'!A:A,AA7)</f>
        <v>1</v>
      </c>
      <c r="AD7" s="80" t="s">
        <v>267</v>
      </c>
      <c r="AE7" s="61">
        <f t="shared" si="13"/>
        <v>0</v>
      </c>
      <c r="AF7" s="80">
        <v>2011.0</v>
      </c>
      <c r="AG7" s="80" t="s">
        <v>250</v>
      </c>
      <c r="AH7" s="80">
        <v>1.0</v>
      </c>
      <c r="AI7" s="108">
        <f t="shared" si="14"/>
        <v>1</v>
      </c>
      <c r="AJ7" s="61" t="str">
        <f t="shared" si="15"/>
        <v/>
      </c>
      <c r="AK7" s="61">
        <f t="shared" si="16"/>
        <v>1</v>
      </c>
      <c r="AL7" s="61" t="str">
        <f t="shared" si="17"/>
        <v/>
      </c>
      <c r="AM7" s="61" t="str">
        <f t="shared" si="18"/>
        <v/>
      </c>
      <c r="AN7" s="61" t="str">
        <f t="shared" si="19"/>
        <v/>
      </c>
      <c r="AO7" s="61" t="str">
        <f t="shared" si="20"/>
        <v>Sprenkle:icst11, </v>
      </c>
      <c r="AU7" s="80" t="s">
        <v>217</v>
      </c>
      <c r="AV7" s="61">
        <f t="shared" si="21"/>
        <v>1</v>
      </c>
      <c r="AY7" s="80" t="s">
        <v>217</v>
      </c>
      <c r="BD7" s="80" t="s">
        <v>217</v>
      </c>
      <c r="BG7" s="80" t="s">
        <v>217</v>
      </c>
      <c r="BN7" s="80" t="s">
        <v>217</v>
      </c>
      <c r="BO7" s="218" t="str">
        <f t="shared" si="31"/>
        <v/>
      </c>
      <c r="BS7" s="80" t="s">
        <v>217</v>
      </c>
      <c r="BX7" s="80" t="s">
        <v>217</v>
      </c>
      <c r="CK7" s="80" t="s">
        <v>217</v>
      </c>
      <c r="CM7" s="61">
        <f t="shared" si="22"/>
        <v>1</v>
      </c>
      <c r="CN7" s="80" t="s">
        <v>217</v>
      </c>
      <c r="CS7" s="61">
        <f t="shared" si="23"/>
        <v>1</v>
      </c>
      <c r="CU7" s="80" t="s">
        <v>217</v>
      </c>
      <c r="CV7" s="61" t="str">
        <f t="shared" si="24"/>
        <v/>
      </c>
      <c r="CW7" s="61" t="str">
        <f t="shared" si="25"/>
        <v/>
      </c>
      <c r="CX7" s="61" t="str">
        <f t="shared" si="26"/>
        <v>FA</v>
      </c>
      <c r="CY7" s="80" t="s">
        <v>217</v>
      </c>
      <c r="DG7" s="80" t="s">
        <v>217</v>
      </c>
      <c r="DH7" s="61" t="str">
        <f t="shared" si="27"/>
        <v/>
      </c>
      <c r="DI7" s="80" t="s">
        <v>217</v>
      </c>
      <c r="DK7" s="61" t="str">
        <f t="shared" si="28"/>
        <v/>
      </c>
      <c r="DL7" s="61" t="str">
        <f t="shared" si="29"/>
        <v/>
      </c>
      <c r="DP7" s="80" t="s">
        <v>217</v>
      </c>
      <c r="DT7" s="80" t="s">
        <v>217</v>
      </c>
      <c r="ED7" s="80">
        <v>5.0</v>
      </c>
      <c r="EE7" s="80" t="s">
        <v>275</v>
      </c>
      <c r="EF7" s="112">
        <v>54876.0</v>
      </c>
      <c r="EG7" s="80" t="s">
        <v>276</v>
      </c>
      <c r="EH7" s="80" t="s">
        <v>217</v>
      </c>
      <c r="EI7" s="80" t="s">
        <v>217</v>
      </c>
    </row>
    <row r="8" ht="1.5" customHeight="1">
      <c r="A8" s="114" t="s">
        <v>278</v>
      </c>
      <c r="B8" s="113" t="s">
        <v>279</v>
      </c>
      <c r="C8" s="80" t="s">
        <v>209</v>
      </c>
      <c r="D8" s="80" t="s">
        <v>280</v>
      </c>
      <c r="E8" s="80" t="s">
        <v>217</v>
      </c>
      <c r="F8" s="80" t="s">
        <v>210</v>
      </c>
      <c r="G8" s="80" t="s">
        <v>211</v>
      </c>
      <c r="H8" s="61">
        <f t="shared" si="3"/>
        <v>1</v>
      </c>
      <c r="I8" s="61" t="str">
        <f t="shared" si="4"/>
        <v/>
      </c>
      <c r="J8" s="61" t="str">
        <f t="shared" si="5"/>
        <v/>
      </c>
      <c r="K8" s="61" t="str">
        <f t="shared" si="6"/>
        <v/>
      </c>
      <c r="L8" s="61" t="str">
        <f t="shared" si="7"/>
        <v/>
      </c>
      <c r="M8" s="61" t="str">
        <f t="shared" si="8"/>
        <v/>
      </c>
      <c r="N8" s="61" t="b">
        <f t="shared" si="9"/>
        <v>1</v>
      </c>
      <c r="O8" s="61" t="b">
        <f t="shared" si="10"/>
        <v>1</v>
      </c>
      <c r="P8" s="80">
        <v>1.0</v>
      </c>
      <c r="Q8" s="80">
        <v>1.0</v>
      </c>
      <c r="R8" s="80">
        <v>1.0</v>
      </c>
      <c r="S8" s="61" t="b">
        <f t="shared" si="11"/>
        <v>1</v>
      </c>
      <c r="T8" s="80">
        <v>1.0</v>
      </c>
      <c r="U8" s="80">
        <v>0.0</v>
      </c>
      <c r="V8" s="80">
        <v>1.0</v>
      </c>
      <c r="W8" s="115" t="s">
        <v>281</v>
      </c>
      <c r="X8" s="61" t="str">
        <f t="shared" si="30"/>
        <v/>
      </c>
      <c r="Y8" s="61" t="str">
        <f t="shared" si="12"/>
        <v>Saxena:sp10, </v>
      </c>
      <c r="Z8" s="80" t="s">
        <v>282</v>
      </c>
      <c r="AA8" s="80" t="s">
        <v>266</v>
      </c>
      <c r="AC8" s="61">
        <f>countif('Charts-SLR'!A:A,AA8)</f>
        <v>1</v>
      </c>
      <c r="AD8" s="80" t="s">
        <v>283</v>
      </c>
      <c r="AE8" s="61">
        <f t="shared" si="13"/>
        <v>0</v>
      </c>
      <c r="AF8" s="80">
        <v>2010.0</v>
      </c>
      <c r="AG8" s="80" t="s">
        <v>268</v>
      </c>
      <c r="AH8" s="80">
        <v>45.0</v>
      </c>
      <c r="AI8" s="108">
        <f t="shared" si="14"/>
        <v>22.5</v>
      </c>
      <c r="AJ8" s="61" t="str">
        <f t="shared" si="15"/>
        <v/>
      </c>
      <c r="AK8" s="61" t="str">
        <f t="shared" si="16"/>
        <v/>
      </c>
      <c r="AL8" s="61" t="str">
        <f t="shared" si="17"/>
        <v/>
      </c>
      <c r="AM8" s="61" t="str">
        <f t="shared" si="18"/>
        <v/>
      </c>
      <c r="AN8" s="61">
        <f t="shared" si="19"/>
        <v>45</v>
      </c>
      <c r="AO8" s="61" t="str">
        <f t="shared" si="20"/>
        <v/>
      </c>
      <c r="AP8" s="80" t="s">
        <v>217</v>
      </c>
      <c r="AQ8" s="80" t="s">
        <v>217</v>
      </c>
      <c r="AV8" s="61">
        <f t="shared" si="21"/>
        <v>2</v>
      </c>
      <c r="AW8" s="80" t="s">
        <v>217</v>
      </c>
      <c r="BE8" s="80" t="s">
        <v>217</v>
      </c>
      <c r="BF8" s="80" t="s">
        <v>217</v>
      </c>
      <c r="BM8" s="80" t="s">
        <v>217</v>
      </c>
      <c r="BO8" s="218" t="str">
        <f t="shared" si="31"/>
        <v/>
      </c>
      <c r="BT8" s="80" t="s">
        <v>217</v>
      </c>
      <c r="CC8" s="80" t="s">
        <v>217</v>
      </c>
      <c r="CM8" s="61">
        <f t="shared" si="22"/>
        <v>1</v>
      </c>
      <c r="CS8" s="61">
        <f t="shared" si="23"/>
        <v>0</v>
      </c>
      <c r="CU8" s="80" t="s">
        <v>217</v>
      </c>
      <c r="CV8" s="61" t="str">
        <f t="shared" si="24"/>
        <v/>
      </c>
      <c r="CW8" s="61" t="str">
        <f t="shared" si="25"/>
        <v/>
      </c>
      <c r="CX8" s="61" t="str">
        <f t="shared" si="26"/>
        <v>FA</v>
      </c>
      <c r="CY8" s="80" t="s">
        <v>217</v>
      </c>
      <c r="DG8" s="80" t="s">
        <v>217</v>
      </c>
      <c r="DH8" s="61" t="str">
        <f t="shared" si="27"/>
        <v/>
      </c>
      <c r="DI8" s="80" t="s">
        <v>217</v>
      </c>
      <c r="DK8" s="61" t="str">
        <f t="shared" si="28"/>
        <v/>
      </c>
      <c r="DL8" s="61" t="str">
        <f t="shared" si="29"/>
        <v/>
      </c>
      <c r="DO8" s="80" t="s">
        <v>217</v>
      </c>
      <c r="DY8" s="80" t="s">
        <v>217</v>
      </c>
      <c r="EB8" s="80" t="s">
        <v>289</v>
      </c>
      <c r="ED8" s="80">
        <v>18.0</v>
      </c>
      <c r="EE8" s="80" t="s">
        <v>290</v>
      </c>
      <c r="EF8" s="116"/>
      <c r="EI8" s="80" t="s">
        <v>217</v>
      </c>
      <c r="EJ8" s="80" t="s">
        <v>217</v>
      </c>
    </row>
    <row r="9" ht="1.5" customHeight="1">
      <c r="A9" s="80" t="s">
        <v>292</v>
      </c>
      <c r="B9" s="113" t="s">
        <v>293</v>
      </c>
      <c r="C9" s="80" t="s">
        <v>209</v>
      </c>
      <c r="D9" s="80" t="s">
        <v>294</v>
      </c>
      <c r="E9" s="80" t="s">
        <v>217</v>
      </c>
      <c r="F9" s="80" t="s">
        <v>210</v>
      </c>
      <c r="G9" s="80" t="s">
        <v>227</v>
      </c>
      <c r="H9" s="61">
        <f t="shared" si="3"/>
        <v>1</v>
      </c>
      <c r="I9" s="61" t="str">
        <f t="shared" si="4"/>
        <v/>
      </c>
      <c r="J9" s="61" t="str">
        <f t="shared" si="5"/>
        <v/>
      </c>
      <c r="K9" s="61" t="str">
        <f t="shared" si="6"/>
        <v/>
      </c>
      <c r="L9" s="61" t="str">
        <f t="shared" si="7"/>
        <v/>
      </c>
      <c r="M9" s="61" t="str">
        <f t="shared" si="8"/>
        <v/>
      </c>
      <c r="N9" s="61" t="b">
        <f t="shared" si="9"/>
        <v>1</v>
      </c>
      <c r="O9" s="61" t="b">
        <f t="shared" si="10"/>
        <v>1</v>
      </c>
      <c r="P9" s="80">
        <v>1.0</v>
      </c>
      <c r="Q9" s="80">
        <v>1.0</v>
      </c>
      <c r="R9" s="80">
        <v>1.0</v>
      </c>
      <c r="S9" s="61" t="b">
        <f t="shared" si="11"/>
        <v>1</v>
      </c>
      <c r="T9" s="80">
        <v>1.0</v>
      </c>
      <c r="U9" s="80">
        <v>1.0</v>
      </c>
      <c r="V9" s="80">
        <v>1.0</v>
      </c>
      <c r="X9" s="61" t="str">
        <f t="shared" si="30"/>
        <v/>
      </c>
      <c r="Y9" s="61" t="str">
        <f t="shared" si="12"/>
        <v/>
      </c>
      <c r="Z9" s="80" t="s">
        <v>295</v>
      </c>
      <c r="AA9" s="80" t="s">
        <v>214</v>
      </c>
      <c r="AC9" s="61">
        <f>countif('Charts-SLR'!A:A,AA9)</f>
        <v>1</v>
      </c>
      <c r="AD9" s="80" t="s">
        <v>215</v>
      </c>
      <c r="AE9" s="61">
        <f t="shared" si="13"/>
        <v>0</v>
      </c>
      <c r="AF9" s="80">
        <v>2006.0</v>
      </c>
      <c r="AG9" s="80" t="s">
        <v>216</v>
      </c>
      <c r="AH9" s="80">
        <v>6.0</v>
      </c>
      <c r="AI9" s="108">
        <f t="shared" si="14"/>
        <v>1</v>
      </c>
      <c r="AJ9" s="61" t="str">
        <f t="shared" si="15"/>
        <v/>
      </c>
      <c r="AK9" s="61" t="str">
        <f t="shared" si="16"/>
        <v/>
      </c>
      <c r="AL9" s="61">
        <f t="shared" si="17"/>
        <v>6</v>
      </c>
      <c r="AM9" s="61" t="str">
        <f t="shared" si="18"/>
        <v/>
      </c>
      <c r="AN9" s="61" t="str">
        <f t="shared" si="19"/>
        <v/>
      </c>
      <c r="AO9" s="61" t="str">
        <f t="shared" si="20"/>
        <v/>
      </c>
      <c r="AR9" s="80" t="s">
        <v>217</v>
      </c>
      <c r="AS9" s="80" t="s">
        <v>217</v>
      </c>
      <c r="AV9" s="61">
        <f t="shared" si="21"/>
        <v>2</v>
      </c>
      <c r="AW9" s="80" t="s">
        <v>217</v>
      </c>
      <c r="BD9" s="80" t="s">
        <v>217</v>
      </c>
      <c r="BG9" s="80" t="s">
        <v>217</v>
      </c>
      <c r="BI9" s="80" t="s">
        <v>217</v>
      </c>
      <c r="BL9" s="80" t="s">
        <v>217</v>
      </c>
      <c r="BN9" s="80" t="s">
        <v>217</v>
      </c>
      <c r="BO9" s="218" t="str">
        <f t="shared" si="31"/>
        <v/>
      </c>
      <c r="BS9" s="80" t="s">
        <v>217</v>
      </c>
      <c r="BX9" s="80" t="s">
        <v>217</v>
      </c>
      <c r="CL9" s="80" t="s">
        <v>217</v>
      </c>
      <c r="CM9" s="61">
        <f t="shared" si="22"/>
        <v>1</v>
      </c>
      <c r="CN9" s="80" t="s">
        <v>217</v>
      </c>
      <c r="CS9" s="61">
        <f t="shared" si="23"/>
        <v>1</v>
      </c>
      <c r="CU9" s="80" t="s">
        <v>217</v>
      </c>
      <c r="CV9" s="61" t="str">
        <f t="shared" si="24"/>
        <v/>
      </c>
      <c r="CW9" s="61" t="str">
        <f t="shared" si="25"/>
        <v/>
      </c>
      <c r="CX9" s="61" t="str">
        <f t="shared" si="26"/>
        <v>FA</v>
      </c>
      <c r="CY9" s="80" t="s">
        <v>217</v>
      </c>
      <c r="DG9" s="80" t="s">
        <v>217</v>
      </c>
      <c r="DH9" s="61" t="str">
        <f t="shared" si="27"/>
        <v/>
      </c>
      <c r="DI9" s="80" t="s">
        <v>217</v>
      </c>
      <c r="DK9" s="61" t="str">
        <f t="shared" si="28"/>
        <v/>
      </c>
      <c r="DL9" s="61" t="str">
        <f t="shared" si="29"/>
        <v/>
      </c>
      <c r="DP9" s="80" t="s">
        <v>217</v>
      </c>
      <c r="DS9" s="80" t="s">
        <v>217</v>
      </c>
      <c r="ED9" s="80">
        <v>1.0</v>
      </c>
      <c r="EE9" s="80" t="s">
        <v>296</v>
      </c>
      <c r="EF9" s="112">
        <v>9748.0</v>
      </c>
      <c r="EG9" s="80" t="s">
        <v>297</v>
      </c>
      <c r="EI9" s="80" t="s">
        <v>217</v>
      </c>
    </row>
    <row r="10" ht="1.5" customHeight="1">
      <c r="A10" s="80" t="s">
        <v>308</v>
      </c>
      <c r="B10" s="113" t="s">
        <v>309</v>
      </c>
      <c r="C10" s="80" t="s">
        <v>210</v>
      </c>
      <c r="D10" s="80" t="s">
        <v>310</v>
      </c>
      <c r="E10" s="80" t="s">
        <v>217</v>
      </c>
      <c r="F10" s="80" t="s">
        <v>245</v>
      </c>
      <c r="G10" s="80" t="s">
        <v>211</v>
      </c>
      <c r="H10" s="61" t="str">
        <f t="shared" si="3"/>
        <v/>
      </c>
      <c r="I10" s="61" t="str">
        <f t="shared" si="4"/>
        <v/>
      </c>
      <c r="J10" s="61" t="str">
        <f t="shared" si="5"/>
        <v/>
      </c>
      <c r="K10" s="61">
        <f t="shared" si="6"/>
        <v>1</v>
      </c>
      <c r="L10" s="61" t="str">
        <f t="shared" si="7"/>
        <v/>
      </c>
      <c r="M10" s="61" t="str">
        <f t="shared" si="8"/>
        <v/>
      </c>
      <c r="N10" s="61" t="b">
        <f t="shared" si="9"/>
        <v>1</v>
      </c>
      <c r="O10" s="61" t="b">
        <f t="shared" si="10"/>
        <v>1</v>
      </c>
      <c r="P10" s="80">
        <v>1.0</v>
      </c>
      <c r="Q10" s="80">
        <v>1.0</v>
      </c>
      <c r="R10" s="80">
        <v>1.0</v>
      </c>
      <c r="S10" s="61" t="b">
        <f t="shared" si="11"/>
        <v>1</v>
      </c>
      <c r="T10" s="80">
        <v>1.0</v>
      </c>
      <c r="U10" s="80">
        <v>1.0</v>
      </c>
      <c r="V10" s="80">
        <v>1.0</v>
      </c>
      <c r="X10" s="61" t="str">
        <f t="shared" si="30"/>
        <v/>
      </c>
      <c r="Y10" s="61" t="str">
        <f t="shared" si="12"/>
        <v/>
      </c>
      <c r="Z10" s="114" t="s">
        <v>311</v>
      </c>
      <c r="AA10" s="80" t="s">
        <v>266</v>
      </c>
      <c r="AC10" s="61">
        <f>countif('Charts-SLR'!A:A,AA10)</f>
        <v>1</v>
      </c>
      <c r="AD10" s="80" t="s">
        <v>312</v>
      </c>
      <c r="AE10" s="61">
        <f t="shared" si="13"/>
        <v>0</v>
      </c>
      <c r="AF10" s="80">
        <v>2006.0</v>
      </c>
      <c r="AG10" s="80" t="s">
        <v>268</v>
      </c>
      <c r="AH10" s="80">
        <v>14.0</v>
      </c>
      <c r="AI10" s="108">
        <f t="shared" si="14"/>
        <v>2.333333333</v>
      </c>
      <c r="AJ10" s="61" t="str">
        <f t="shared" si="15"/>
        <v/>
      </c>
      <c r="AK10" s="61" t="str">
        <f t="shared" si="16"/>
        <v/>
      </c>
      <c r="AL10" s="61" t="str">
        <f t="shared" si="17"/>
        <v/>
      </c>
      <c r="AM10" s="61" t="str">
        <f t="shared" si="18"/>
        <v/>
      </c>
      <c r="AN10" s="61">
        <f t="shared" si="19"/>
        <v>14</v>
      </c>
      <c r="AO10" s="61" t="str">
        <f t="shared" si="20"/>
        <v/>
      </c>
      <c r="AP10" s="80" t="s">
        <v>217</v>
      </c>
      <c r="AQ10" s="80" t="s">
        <v>217</v>
      </c>
      <c r="AV10" s="61">
        <f t="shared" si="21"/>
        <v>2</v>
      </c>
      <c r="AW10" s="80" t="s">
        <v>217</v>
      </c>
      <c r="BD10" s="80" t="s">
        <v>217</v>
      </c>
      <c r="BG10" s="80" t="s">
        <v>217</v>
      </c>
      <c r="BI10" s="80" t="s">
        <v>217</v>
      </c>
      <c r="BO10" s="216" t="s">
        <v>217</v>
      </c>
      <c r="BQ10" s="80" t="s">
        <v>217</v>
      </c>
      <c r="BR10" s="80" t="s">
        <v>217</v>
      </c>
      <c r="BT10" s="80" t="s">
        <v>217</v>
      </c>
      <c r="CE10" s="80" t="s">
        <v>217</v>
      </c>
      <c r="CL10" s="80" t="s">
        <v>217</v>
      </c>
      <c r="CM10" s="61">
        <f t="shared" si="22"/>
        <v>2</v>
      </c>
      <c r="CO10" s="80" t="s">
        <v>217</v>
      </c>
      <c r="CS10" s="61">
        <f t="shared" si="23"/>
        <v>1</v>
      </c>
      <c r="CU10" s="80" t="s">
        <v>217</v>
      </c>
      <c r="CV10" s="61" t="str">
        <f t="shared" si="24"/>
        <v/>
      </c>
      <c r="CW10" s="61" t="str">
        <f t="shared" si="25"/>
        <v/>
      </c>
      <c r="CX10" s="61" t="str">
        <f t="shared" si="26"/>
        <v>FA</v>
      </c>
      <c r="CY10" s="80" t="s">
        <v>217</v>
      </c>
      <c r="DG10" s="80" t="s">
        <v>217</v>
      </c>
      <c r="DH10" s="61" t="str">
        <f t="shared" si="27"/>
        <v/>
      </c>
      <c r="DI10" s="80" t="s">
        <v>217</v>
      </c>
      <c r="DK10" s="61" t="str">
        <f t="shared" si="28"/>
        <v/>
      </c>
      <c r="DL10" s="61" t="str">
        <f t="shared" si="29"/>
        <v/>
      </c>
      <c r="DO10" s="80" t="s">
        <v>217</v>
      </c>
      <c r="DT10" s="80" t="s">
        <v>217</v>
      </c>
      <c r="EB10" s="80" t="s">
        <v>313</v>
      </c>
      <c r="EG10" s="116"/>
      <c r="EH10" s="80" t="s">
        <v>217</v>
      </c>
    </row>
    <row r="11" ht="1.5" customHeight="1">
      <c r="A11" s="80" t="s">
        <v>330</v>
      </c>
      <c r="B11" s="113" t="s">
        <v>331</v>
      </c>
      <c r="C11" s="80" t="s">
        <v>210</v>
      </c>
      <c r="D11" s="80" t="s">
        <v>332</v>
      </c>
      <c r="E11" s="216" t="s">
        <v>217</v>
      </c>
      <c r="F11" s="80" t="s">
        <v>245</v>
      </c>
      <c r="G11" s="80" t="s">
        <v>211</v>
      </c>
      <c r="H11" s="61" t="str">
        <f t="shared" si="3"/>
        <v/>
      </c>
      <c r="I11" s="61" t="str">
        <f t="shared" si="4"/>
        <v/>
      </c>
      <c r="J11" s="61" t="str">
        <f t="shared" si="5"/>
        <v/>
      </c>
      <c r="K11" s="61">
        <f t="shared" si="6"/>
        <v>1</v>
      </c>
      <c r="L11" s="61" t="str">
        <f t="shared" si="7"/>
        <v/>
      </c>
      <c r="M11" s="61" t="str">
        <f t="shared" si="8"/>
        <v/>
      </c>
      <c r="N11" s="61" t="b">
        <f t="shared" si="9"/>
        <v>1</v>
      </c>
      <c r="O11" s="61" t="b">
        <f t="shared" si="10"/>
        <v>1</v>
      </c>
      <c r="P11" s="80">
        <v>1.0</v>
      </c>
      <c r="Q11" s="80">
        <v>1.0</v>
      </c>
      <c r="R11" s="80">
        <v>1.0</v>
      </c>
      <c r="S11" s="61" t="b">
        <f t="shared" si="11"/>
        <v>1</v>
      </c>
      <c r="T11" s="80">
        <v>1.0</v>
      </c>
      <c r="U11" s="80">
        <v>1.0</v>
      </c>
      <c r="V11" s="80">
        <v>1.0</v>
      </c>
      <c r="X11" s="61" t="str">
        <f t="shared" si="30"/>
        <v>Sprenkle:icsm05, </v>
      </c>
      <c r="Y11" s="61" t="str">
        <f t="shared" si="12"/>
        <v/>
      </c>
      <c r="Z11" s="114" t="s">
        <v>333</v>
      </c>
      <c r="AA11" s="80" t="s">
        <v>266</v>
      </c>
      <c r="AC11" s="61">
        <f>countif('Charts-SLR'!A:A,AA11)</f>
        <v>1</v>
      </c>
      <c r="AD11" s="80" t="s">
        <v>334</v>
      </c>
      <c r="AE11" s="61">
        <f t="shared" si="13"/>
        <v>0</v>
      </c>
      <c r="AF11" s="80">
        <v>2005.0</v>
      </c>
      <c r="AG11" s="80" t="s">
        <v>250</v>
      </c>
      <c r="AH11" s="80">
        <v>38.0</v>
      </c>
      <c r="AI11" s="108">
        <f t="shared" si="14"/>
        <v>5.428571429</v>
      </c>
      <c r="AJ11" s="61" t="str">
        <f t="shared" si="15"/>
        <v/>
      </c>
      <c r="AK11" s="61">
        <f t="shared" si="16"/>
        <v>38</v>
      </c>
      <c r="AL11" s="61" t="str">
        <f t="shared" si="17"/>
        <v/>
      </c>
      <c r="AM11" s="61" t="str">
        <f t="shared" si="18"/>
        <v/>
      </c>
      <c r="AN11" s="61" t="str">
        <f t="shared" si="19"/>
        <v/>
      </c>
      <c r="AO11" s="61" t="str">
        <f t="shared" si="20"/>
        <v>Sprenkle:icsm05, </v>
      </c>
      <c r="AU11" s="80" t="s">
        <v>217</v>
      </c>
      <c r="AV11" s="61">
        <f t="shared" si="21"/>
        <v>1</v>
      </c>
      <c r="AY11" s="80" t="s">
        <v>217</v>
      </c>
      <c r="BD11" s="80" t="s">
        <v>217</v>
      </c>
      <c r="BL11" s="80" t="s">
        <v>217</v>
      </c>
      <c r="BN11" s="80" t="s">
        <v>217</v>
      </c>
      <c r="BO11" s="218" t="str">
        <f t="shared" ref="BO11:BO13" si="32">if(and(BM11="x",BN11="x"), "x", "")</f>
        <v/>
      </c>
      <c r="BS11" s="80" t="s">
        <v>217</v>
      </c>
      <c r="BV11" s="80" t="s">
        <v>217</v>
      </c>
      <c r="BX11" s="80" t="s">
        <v>217</v>
      </c>
      <c r="CB11" s="80" t="s">
        <v>217</v>
      </c>
      <c r="CK11" s="80" t="s">
        <v>217</v>
      </c>
      <c r="CL11" s="80" t="s">
        <v>217</v>
      </c>
      <c r="CM11" s="61">
        <f t="shared" si="22"/>
        <v>3</v>
      </c>
      <c r="CN11" s="80" t="s">
        <v>217</v>
      </c>
      <c r="CS11" s="61">
        <f t="shared" si="23"/>
        <v>1</v>
      </c>
      <c r="CU11" s="80" t="s">
        <v>217</v>
      </c>
      <c r="CV11" s="61" t="str">
        <f t="shared" si="24"/>
        <v/>
      </c>
      <c r="CW11" s="61" t="str">
        <f t="shared" si="25"/>
        <v/>
      </c>
      <c r="CX11" s="61" t="str">
        <f t="shared" si="26"/>
        <v>FA</v>
      </c>
      <c r="CY11" s="80" t="s">
        <v>217</v>
      </c>
      <c r="CZ11" s="80" t="s">
        <v>217</v>
      </c>
      <c r="DG11" s="80" t="s">
        <v>217</v>
      </c>
      <c r="DH11" s="61" t="str">
        <f t="shared" si="27"/>
        <v/>
      </c>
      <c r="DI11" s="80" t="s">
        <v>217</v>
      </c>
      <c r="DK11" s="61" t="str">
        <f t="shared" si="28"/>
        <v/>
      </c>
      <c r="DL11" s="61" t="str">
        <f t="shared" si="29"/>
        <v/>
      </c>
      <c r="DP11" s="80" t="s">
        <v>217</v>
      </c>
      <c r="DS11" s="80" t="s">
        <v>217</v>
      </c>
      <c r="DT11" s="80" t="s">
        <v>217</v>
      </c>
      <c r="ED11" s="80">
        <v>2.0</v>
      </c>
      <c r="EE11" s="80" t="s">
        <v>343</v>
      </c>
      <c r="EF11" s="112">
        <v>17091.0</v>
      </c>
      <c r="EI11" s="80" t="s">
        <v>217</v>
      </c>
      <c r="EJ11" s="80" t="s">
        <v>217</v>
      </c>
    </row>
    <row r="12" ht="1.5" customHeight="1">
      <c r="A12" s="80" t="s">
        <v>345</v>
      </c>
      <c r="B12" s="113" t="s">
        <v>346</v>
      </c>
      <c r="C12" s="80" t="s">
        <v>245</v>
      </c>
      <c r="D12" s="80" t="s">
        <v>347</v>
      </c>
      <c r="E12" s="80" t="s">
        <v>217</v>
      </c>
      <c r="F12" s="80" t="s">
        <v>209</v>
      </c>
      <c r="G12" s="80" t="s">
        <v>211</v>
      </c>
      <c r="H12" s="61" t="str">
        <f t="shared" si="3"/>
        <v/>
      </c>
      <c r="I12" s="61" t="str">
        <f t="shared" si="4"/>
        <v/>
      </c>
      <c r="J12" s="61" t="str">
        <f t="shared" si="5"/>
        <v/>
      </c>
      <c r="K12" s="61" t="str">
        <f t="shared" si="6"/>
        <v/>
      </c>
      <c r="L12" s="61" t="str">
        <f t="shared" si="7"/>
        <v/>
      </c>
      <c r="M12" s="61">
        <f t="shared" si="8"/>
        <v>1</v>
      </c>
      <c r="N12" s="61" t="b">
        <f t="shared" si="9"/>
        <v>1</v>
      </c>
      <c r="O12" s="61" t="b">
        <f t="shared" si="10"/>
        <v>1</v>
      </c>
      <c r="P12" s="80">
        <v>1.0</v>
      </c>
      <c r="Q12" s="80">
        <v>1.0</v>
      </c>
      <c r="R12" s="80">
        <v>1.0</v>
      </c>
      <c r="S12" s="61" t="b">
        <f t="shared" si="11"/>
        <v>1</v>
      </c>
      <c r="T12" s="80">
        <v>1.0</v>
      </c>
      <c r="U12" s="80">
        <v>1.0</v>
      </c>
      <c r="V12" s="80">
        <v>1.0</v>
      </c>
      <c r="X12" s="61" t="str">
        <f t="shared" si="30"/>
        <v/>
      </c>
      <c r="Y12" s="61" t="str">
        <f t="shared" si="12"/>
        <v>Ricca:icse01, </v>
      </c>
      <c r="Z12" s="114" t="s">
        <v>348</v>
      </c>
      <c r="AA12" s="80" t="s">
        <v>214</v>
      </c>
      <c r="AC12" s="61">
        <f>countif('Charts-SLR'!A:A,AA12)</f>
        <v>1</v>
      </c>
      <c r="AD12" s="80" t="s">
        <v>249</v>
      </c>
      <c r="AE12" s="61">
        <f t="shared" si="13"/>
        <v>0</v>
      </c>
      <c r="AF12" s="80">
        <v>2001.0</v>
      </c>
      <c r="AG12" s="80" t="s">
        <v>250</v>
      </c>
      <c r="AH12" s="80">
        <v>361.0</v>
      </c>
      <c r="AI12" s="108">
        <f t="shared" si="14"/>
        <v>32.81818182</v>
      </c>
      <c r="AJ12" s="61" t="str">
        <f t="shared" si="15"/>
        <v/>
      </c>
      <c r="AK12" s="61">
        <f t="shared" si="16"/>
        <v>361</v>
      </c>
      <c r="AL12" s="61" t="str">
        <f t="shared" si="17"/>
        <v/>
      </c>
      <c r="AM12" s="61" t="str">
        <f t="shared" si="18"/>
        <v/>
      </c>
      <c r="AN12" s="61" t="str">
        <f t="shared" si="19"/>
        <v/>
      </c>
      <c r="AO12" s="61" t="str">
        <f t="shared" si="20"/>
        <v/>
      </c>
      <c r="AQ12" s="80" t="s">
        <v>217</v>
      </c>
      <c r="AR12" s="80" t="s">
        <v>217</v>
      </c>
      <c r="AV12" s="61">
        <f t="shared" si="21"/>
        <v>2</v>
      </c>
      <c r="AX12" s="80" t="s">
        <v>217</v>
      </c>
      <c r="BD12" s="80" t="s">
        <v>217</v>
      </c>
      <c r="BF12" s="80" t="s">
        <v>217</v>
      </c>
      <c r="BG12" s="80" t="s">
        <v>217</v>
      </c>
      <c r="BJ12" s="80" t="s">
        <v>217</v>
      </c>
      <c r="BM12" s="80" t="s">
        <v>217</v>
      </c>
      <c r="BO12" s="218" t="str">
        <f t="shared" si="32"/>
        <v/>
      </c>
      <c r="BP12" s="61">
        <f t="shared" ref="BP12:BP81" si="33">if(BM12="x", 1, if(BN12="x", 2, 3))</f>
        <v>1</v>
      </c>
      <c r="BQ12" s="80" t="s">
        <v>217</v>
      </c>
      <c r="BR12" s="80" t="s">
        <v>217</v>
      </c>
      <c r="BT12" s="80" t="s">
        <v>217</v>
      </c>
      <c r="BV12" s="80" t="s">
        <v>217</v>
      </c>
      <c r="CD12" s="80" t="s">
        <v>217</v>
      </c>
      <c r="CH12" s="80" t="s">
        <v>217</v>
      </c>
      <c r="CL12" s="80" t="s">
        <v>217</v>
      </c>
      <c r="CM12" s="61">
        <f t="shared" si="22"/>
        <v>3</v>
      </c>
      <c r="CN12" s="80" t="s">
        <v>217</v>
      </c>
      <c r="CO12" s="80" t="s">
        <v>217</v>
      </c>
      <c r="CS12" s="61">
        <f t="shared" si="23"/>
        <v>2</v>
      </c>
      <c r="CU12" s="80" t="s">
        <v>217</v>
      </c>
      <c r="CV12" s="61" t="str">
        <f t="shared" si="24"/>
        <v/>
      </c>
      <c r="CW12" s="61" t="str">
        <f t="shared" si="25"/>
        <v/>
      </c>
      <c r="CX12" s="61" t="str">
        <f t="shared" si="26"/>
        <v>FA</v>
      </c>
      <c r="CY12" s="80" t="s">
        <v>217</v>
      </c>
      <c r="DA12" s="80" t="s">
        <v>217</v>
      </c>
      <c r="DG12" s="80" t="s">
        <v>217</v>
      </c>
      <c r="DH12" s="61" t="str">
        <f t="shared" si="27"/>
        <v/>
      </c>
      <c r="DI12" s="80" t="s">
        <v>217</v>
      </c>
      <c r="DK12" s="61" t="str">
        <f t="shared" si="28"/>
        <v/>
      </c>
      <c r="DL12" s="61" t="str">
        <f t="shared" si="29"/>
        <v/>
      </c>
      <c r="DM12" s="80" t="s">
        <v>217</v>
      </c>
      <c r="DY12" s="80" t="s">
        <v>217</v>
      </c>
      <c r="EB12" s="80" t="s">
        <v>353</v>
      </c>
      <c r="ED12" s="80">
        <v>2.0</v>
      </c>
      <c r="EE12" s="80" t="s">
        <v>354</v>
      </c>
      <c r="EF12" s="116"/>
      <c r="EG12" s="80" t="s">
        <v>355</v>
      </c>
    </row>
    <row r="13" ht="1.5" customHeight="1">
      <c r="A13" s="80" t="s">
        <v>357</v>
      </c>
      <c r="B13" s="113" t="s">
        <v>358</v>
      </c>
      <c r="C13" s="80" t="s">
        <v>245</v>
      </c>
      <c r="D13" s="80" t="s">
        <v>359</v>
      </c>
      <c r="E13" s="80" t="s">
        <v>217</v>
      </c>
      <c r="F13" s="80" t="s">
        <v>209</v>
      </c>
      <c r="G13" s="80" t="s">
        <v>211</v>
      </c>
      <c r="H13" s="61" t="str">
        <f t="shared" si="3"/>
        <v/>
      </c>
      <c r="I13" s="61" t="str">
        <f t="shared" si="4"/>
        <v/>
      </c>
      <c r="J13" s="61" t="str">
        <f t="shared" si="5"/>
        <v/>
      </c>
      <c r="K13" s="61" t="str">
        <f t="shared" si="6"/>
        <v/>
      </c>
      <c r="L13" s="61" t="str">
        <f t="shared" si="7"/>
        <v/>
      </c>
      <c r="M13" s="61">
        <f t="shared" si="8"/>
        <v>1</v>
      </c>
      <c r="N13" s="61" t="b">
        <f t="shared" si="9"/>
        <v>1</v>
      </c>
      <c r="O13" s="61" t="b">
        <f t="shared" si="10"/>
        <v>1</v>
      </c>
      <c r="P13" s="80">
        <v>1.0</v>
      </c>
      <c r="Q13" s="80">
        <v>1.0</v>
      </c>
      <c r="R13" s="80">
        <v>1.0</v>
      </c>
      <c r="S13" s="61" t="b">
        <f t="shared" si="11"/>
        <v>1</v>
      </c>
      <c r="T13" s="80">
        <v>1.0</v>
      </c>
      <c r="U13" s="80">
        <v>1.0</v>
      </c>
      <c r="V13" s="80">
        <v>1.0</v>
      </c>
      <c r="X13" s="61" t="str">
        <f t="shared" si="30"/>
        <v>Sampath:tse07, </v>
      </c>
      <c r="Y13" s="61" t="str">
        <f t="shared" si="12"/>
        <v/>
      </c>
      <c r="Z13" s="114" t="s">
        <v>360</v>
      </c>
      <c r="AA13" s="80" t="s">
        <v>266</v>
      </c>
      <c r="AC13" s="61">
        <f>countif('Charts-SLR'!A:A,AA13)</f>
        <v>1</v>
      </c>
      <c r="AD13" s="80" t="s">
        <v>361</v>
      </c>
      <c r="AE13" s="61">
        <f t="shared" si="13"/>
        <v>0</v>
      </c>
      <c r="AF13" s="80">
        <v>2006.0</v>
      </c>
      <c r="AG13" s="80" t="s">
        <v>231</v>
      </c>
      <c r="AH13" s="80">
        <v>50.0</v>
      </c>
      <c r="AI13" s="108">
        <f t="shared" si="14"/>
        <v>8.333333333</v>
      </c>
      <c r="AJ13" s="61">
        <f t="shared" si="15"/>
        <v>50</v>
      </c>
      <c r="AK13" s="61" t="str">
        <f t="shared" si="16"/>
        <v/>
      </c>
      <c r="AL13" s="61" t="str">
        <f t="shared" si="17"/>
        <v/>
      </c>
      <c r="AM13" s="61" t="str">
        <f t="shared" si="18"/>
        <v/>
      </c>
      <c r="AN13" s="61" t="str">
        <f t="shared" si="19"/>
        <v/>
      </c>
      <c r="AO13" s="61" t="str">
        <f t="shared" si="20"/>
        <v/>
      </c>
      <c r="AP13" s="80" t="s">
        <v>217</v>
      </c>
      <c r="AV13" s="61">
        <f t="shared" si="21"/>
        <v>1</v>
      </c>
      <c r="AX13" s="80" t="s">
        <v>217</v>
      </c>
      <c r="BD13" s="80" t="s">
        <v>217</v>
      </c>
      <c r="BE13" s="80" t="s">
        <v>217</v>
      </c>
      <c r="BG13" s="80" t="s">
        <v>217</v>
      </c>
      <c r="BJ13" s="80" t="s">
        <v>217</v>
      </c>
      <c r="BN13" s="80" t="s">
        <v>217</v>
      </c>
      <c r="BO13" s="218" t="str">
        <f t="shared" si="32"/>
        <v/>
      </c>
      <c r="BP13" s="61">
        <f t="shared" si="33"/>
        <v>2</v>
      </c>
      <c r="BQ13" s="80" t="s">
        <v>217</v>
      </c>
      <c r="BR13" s="80" t="s">
        <v>217</v>
      </c>
      <c r="BX13" s="80" t="s">
        <v>217</v>
      </c>
      <c r="CJ13" s="80" t="s">
        <v>217</v>
      </c>
      <c r="CL13" s="80" t="s">
        <v>217</v>
      </c>
      <c r="CM13" s="61">
        <f t="shared" si="22"/>
        <v>2</v>
      </c>
      <c r="CN13" s="80" t="s">
        <v>217</v>
      </c>
      <c r="CQ13" s="80" t="s">
        <v>217</v>
      </c>
      <c r="CR13" s="123"/>
      <c r="CS13" s="61">
        <f t="shared" si="23"/>
        <v>2</v>
      </c>
      <c r="CU13" s="80" t="s">
        <v>217</v>
      </c>
      <c r="CV13" s="61" t="str">
        <f t="shared" si="24"/>
        <v/>
      </c>
      <c r="CW13" s="61" t="str">
        <f t="shared" si="25"/>
        <v/>
      </c>
      <c r="CX13" s="61" t="str">
        <f t="shared" si="26"/>
        <v>FA</v>
      </c>
      <c r="CY13" s="80" t="s">
        <v>217</v>
      </c>
      <c r="CZ13" s="80" t="s">
        <v>217</v>
      </c>
      <c r="DA13" s="80" t="s">
        <v>217</v>
      </c>
      <c r="DG13" s="80" t="s">
        <v>217</v>
      </c>
      <c r="DH13" s="61" t="str">
        <f t="shared" si="27"/>
        <v/>
      </c>
      <c r="DI13" s="80" t="s">
        <v>217</v>
      </c>
      <c r="DK13" s="61" t="str">
        <f t="shared" si="28"/>
        <v/>
      </c>
      <c r="DL13" s="61" t="str">
        <f t="shared" si="29"/>
        <v/>
      </c>
      <c r="DP13" s="80" t="s">
        <v>217</v>
      </c>
      <c r="DT13" s="80" t="s">
        <v>217</v>
      </c>
      <c r="ED13" s="80">
        <v>3.0</v>
      </c>
      <c r="EE13" s="80" t="s">
        <v>367</v>
      </c>
      <c r="EF13" s="112">
        <v>18015.0</v>
      </c>
      <c r="EG13" s="80" t="s">
        <v>368</v>
      </c>
      <c r="EH13" s="80" t="s">
        <v>217</v>
      </c>
      <c r="EI13" s="80" t="s">
        <v>217</v>
      </c>
    </row>
    <row r="14" ht="13.5" customHeight="1">
      <c r="A14" s="80" t="s">
        <v>370</v>
      </c>
      <c r="B14" s="113" t="s">
        <v>371</v>
      </c>
      <c r="C14" s="80" t="s">
        <v>210</v>
      </c>
      <c r="D14" s="80" t="s">
        <v>372</v>
      </c>
      <c r="E14" s="80" t="s">
        <v>217</v>
      </c>
      <c r="F14" s="80" t="s">
        <v>245</v>
      </c>
      <c r="G14" s="80" t="s">
        <v>211</v>
      </c>
      <c r="H14" s="61" t="str">
        <f t="shared" si="3"/>
        <v/>
      </c>
      <c r="I14" s="61" t="str">
        <f t="shared" si="4"/>
        <v/>
      </c>
      <c r="J14" s="61" t="str">
        <f t="shared" si="5"/>
        <v/>
      </c>
      <c r="K14" s="61">
        <f t="shared" si="6"/>
        <v>1</v>
      </c>
      <c r="L14" s="61" t="str">
        <f t="shared" si="7"/>
        <v/>
      </c>
      <c r="M14" s="61" t="str">
        <f t="shared" si="8"/>
        <v/>
      </c>
      <c r="N14" s="61" t="b">
        <f t="shared" si="9"/>
        <v>1</v>
      </c>
      <c r="O14" s="61" t="b">
        <f t="shared" si="10"/>
        <v>1</v>
      </c>
      <c r="P14" s="80">
        <v>1.0</v>
      </c>
      <c r="Q14" s="80">
        <v>1.0</v>
      </c>
      <c r="R14" s="80">
        <v>1.0</v>
      </c>
      <c r="S14" s="61" t="b">
        <f t="shared" si="11"/>
        <v>1</v>
      </c>
      <c r="T14" s="80">
        <v>1.0</v>
      </c>
      <c r="U14" s="80">
        <v>1.0</v>
      </c>
      <c r="V14" s="80">
        <v>1.0</v>
      </c>
      <c r="X14" s="61" t="str">
        <f t="shared" si="30"/>
        <v/>
      </c>
      <c r="Y14" s="61" t="str">
        <f t="shared" si="12"/>
        <v/>
      </c>
      <c r="Z14" s="80" t="s">
        <v>373</v>
      </c>
      <c r="AA14" s="80" t="s">
        <v>266</v>
      </c>
      <c r="AC14" s="61">
        <f>countif('Charts-SLR'!A:A,AA14)</f>
        <v>1</v>
      </c>
      <c r="AD14" s="80" t="s">
        <v>374</v>
      </c>
      <c r="AE14" s="61">
        <f t="shared" si="13"/>
        <v>0</v>
      </c>
      <c r="AF14" s="80">
        <v>2010.0</v>
      </c>
      <c r="AG14" s="80" t="s">
        <v>216</v>
      </c>
      <c r="AH14" s="80">
        <v>3.0</v>
      </c>
      <c r="AI14" s="108">
        <f t="shared" si="14"/>
        <v>1.5</v>
      </c>
      <c r="AJ14" s="61" t="str">
        <f t="shared" si="15"/>
        <v/>
      </c>
      <c r="AK14" s="61" t="str">
        <f t="shared" si="16"/>
        <v/>
      </c>
      <c r="AL14" s="61">
        <f t="shared" si="17"/>
        <v>3</v>
      </c>
      <c r="AM14" s="61" t="str">
        <f t="shared" si="18"/>
        <v/>
      </c>
      <c r="AN14" s="61" t="str">
        <f t="shared" si="19"/>
        <v/>
      </c>
      <c r="AO14" s="61" t="str">
        <f t="shared" si="20"/>
        <v/>
      </c>
      <c r="AP14" s="80" t="s">
        <v>217</v>
      </c>
      <c r="AQ14" s="80" t="s">
        <v>217</v>
      </c>
      <c r="AV14" s="61">
        <f t="shared" si="21"/>
        <v>2</v>
      </c>
      <c r="AX14" s="80" t="s">
        <v>217</v>
      </c>
      <c r="BD14" s="80" t="s">
        <v>217</v>
      </c>
      <c r="BG14" s="80" t="s">
        <v>217</v>
      </c>
      <c r="BI14" s="80" t="s">
        <v>217</v>
      </c>
      <c r="BO14" s="216" t="s">
        <v>217</v>
      </c>
      <c r="BP14" s="61">
        <f t="shared" si="33"/>
        <v>3</v>
      </c>
      <c r="BQ14" s="80" t="s">
        <v>217</v>
      </c>
      <c r="BR14" s="80" t="s">
        <v>217</v>
      </c>
      <c r="BT14" s="80" t="s">
        <v>217</v>
      </c>
      <c r="CL14" s="80" t="s">
        <v>217</v>
      </c>
      <c r="CM14" s="61">
        <f t="shared" si="22"/>
        <v>1</v>
      </c>
      <c r="CO14" s="80" t="s">
        <v>217</v>
      </c>
      <c r="CS14" s="61">
        <f t="shared" si="23"/>
        <v>1</v>
      </c>
      <c r="CT14" s="80" t="s">
        <v>217</v>
      </c>
      <c r="CU14" s="80" t="s">
        <v>217</v>
      </c>
      <c r="CV14" s="61" t="str">
        <f t="shared" si="24"/>
        <v>both</v>
      </c>
      <c r="CW14" s="61" t="str">
        <f t="shared" si="25"/>
        <v/>
      </c>
      <c r="CX14" s="61" t="str">
        <f t="shared" si="26"/>
        <v/>
      </c>
      <c r="CZ14" s="80" t="s">
        <v>217</v>
      </c>
      <c r="DG14" s="80" t="s">
        <v>217</v>
      </c>
      <c r="DH14" s="61" t="str">
        <f t="shared" si="27"/>
        <v/>
      </c>
      <c r="DI14" s="80" t="s">
        <v>217</v>
      </c>
      <c r="DK14" s="61" t="str">
        <f t="shared" si="28"/>
        <v/>
      </c>
      <c r="DL14" s="61" t="str">
        <f t="shared" si="29"/>
        <v/>
      </c>
      <c r="DM14" s="80" t="s">
        <v>217</v>
      </c>
      <c r="DT14" s="80" t="s">
        <v>217</v>
      </c>
      <c r="EB14" s="80" t="s">
        <v>380</v>
      </c>
      <c r="ED14" s="80">
        <v>1.0</v>
      </c>
      <c r="EF14" s="112">
        <v>1329.0</v>
      </c>
      <c r="EH14" s="80" t="s">
        <v>217</v>
      </c>
    </row>
    <row r="15" ht="6.75" customHeight="1">
      <c r="A15" s="80" t="s">
        <v>382</v>
      </c>
      <c r="B15" s="113" t="s">
        <v>383</v>
      </c>
      <c r="C15" s="80" t="s">
        <v>210</v>
      </c>
      <c r="D15" s="80" t="s">
        <v>384</v>
      </c>
      <c r="E15" s="80" t="s">
        <v>217</v>
      </c>
      <c r="F15" s="80" t="s">
        <v>245</v>
      </c>
      <c r="G15" s="80" t="s">
        <v>211</v>
      </c>
      <c r="H15" s="61" t="str">
        <f t="shared" si="3"/>
        <v/>
      </c>
      <c r="I15" s="61" t="str">
        <f t="shared" si="4"/>
        <v/>
      </c>
      <c r="J15" s="61" t="str">
        <f t="shared" si="5"/>
        <v/>
      </c>
      <c r="K15" s="61">
        <f t="shared" si="6"/>
        <v>1</v>
      </c>
      <c r="L15" s="61" t="str">
        <f t="shared" si="7"/>
        <v/>
      </c>
      <c r="M15" s="61" t="str">
        <f t="shared" si="8"/>
        <v/>
      </c>
      <c r="N15" s="61" t="b">
        <f t="shared" si="9"/>
        <v>1</v>
      </c>
      <c r="O15" s="61" t="b">
        <f t="shared" si="10"/>
        <v>1</v>
      </c>
      <c r="P15" s="80">
        <v>1.0</v>
      </c>
      <c r="Q15" s="80">
        <v>1.0</v>
      </c>
      <c r="R15" s="80">
        <v>0.0</v>
      </c>
      <c r="S15" s="61" t="b">
        <f t="shared" si="11"/>
        <v>1</v>
      </c>
      <c r="T15" s="80">
        <v>1.0</v>
      </c>
      <c r="U15" s="80">
        <v>1.0</v>
      </c>
      <c r="V15" s="80">
        <v>1.0</v>
      </c>
      <c r="W15" s="80" t="s">
        <v>385</v>
      </c>
      <c r="X15" s="61" t="str">
        <f t="shared" si="30"/>
        <v/>
      </c>
      <c r="Y15" s="61" t="str">
        <f t="shared" si="12"/>
        <v>Mesbah:icse2011, </v>
      </c>
      <c r="Z15" s="80" t="s">
        <v>386</v>
      </c>
      <c r="AA15" s="80" t="s">
        <v>387</v>
      </c>
      <c r="AB15" s="80" t="s">
        <v>217</v>
      </c>
      <c r="AC15" s="80">
        <v>1.0</v>
      </c>
      <c r="AD15" s="80" t="s">
        <v>249</v>
      </c>
      <c r="AE15" s="61">
        <f t="shared" si="13"/>
        <v>0</v>
      </c>
      <c r="AF15" s="80">
        <v>2011.0</v>
      </c>
      <c r="AG15" s="80" t="s">
        <v>250</v>
      </c>
      <c r="AH15" s="80">
        <v>6.0</v>
      </c>
      <c r="AI15" s="108">
        <f t="shared" si="14"/>
        <v>6</v>
      </c>
      <c r="AJ15" s="61" t="str">
        <f t="shared" si="15"/>
        <v/>
      </c>
      <c r="AK15" s="61">
        <f t="shared" si="16"/>
        <v>6</v>
      </c>
      <c r="AL15" s="61" t="str">
        <f t="shared" si="17"/>
        <v/>
      </c>
      <c r="AM15" s="61" t="str">
        <f t="shared" si="18"/>
        <v/>
      </c>
      <c r="AN15" s="61" t="str">
        <f t="shared" si="19"/>
        <v/>
      </c>
      <c r="AO15" s="61" t="str">
        <f t="shared" si="20"/>
        <v/>
      </c>
      <c r="AP15" s="80" t="s">
        <v>217</v>
      </c>
      <c r="AQ15" s="80" t="s">
        <v>217</v>
      </c>
      <c r="AR15" s="80" t="s">
        <v>217</v>
      </c>
      <c r="AT15" s="80" t="s">
        <v>217</v>
      </c>
      <c r="AV15" s="61">
        <f t="shared" si="21"/>
        <v>4</v>
      </c>
      <c r="AX15" s="80" t="s">
        <v>217</v>
      </c>
      <c r="BD15" s="80" t="s">
        <v>217</v>
      </c>
      <c r="BG15" s="80" t="s">
        <v>217</v>
      </c>
      <c r="BI15" s="80" t="s">
        <v>217</v>
      </c>
      <c r="BJ15" s="80" t="s">
        <v>217</v>
      </c>
      <c r="BM15" s="80" t="s">
        <v>217</v>
      </c>
      <c r="BO15" s="218" t="str">
        <f t="shared" ref="BO15:BO24" si="34">if(and(BM15="x",BN15="x"), "x", "")</f>
        <v/>
      </c>
      <c r="BP15" s="61">
        <f t="shared" si="33"/>
        <v>1</v>
      </c>
      <c r="BQ15" s="80" t="s">
        <v>217</v>
      </c>
      <c r="BS15" s="80" t="s">
        <v>217</v>
      </c>
      <c r="BY15" s="80" t="s">
        <v>217</v>
      </c>
      <c r="CF15" s="80" t="s">
        <v>217</v>
      </c>
      <c r="CM15" s="61">
        <f t="shared" si="22"/>
        <v>1</v>
      </c>
      <c r="CN15" s="80" t="s">
        <v>217</v>
      </c>
      <c r="CP15" s="80" t="s">
        <v>217</v>
      </c>
      <c r="CR15" s="80" t="s">
        <v>217</v>
      </c>
      <c r="CS15" s="61">
        <f t="shared" si="23"/>
        <v>3</v>
      </c>
      <c r="CU15" s="80" t="s">
        <v>217</v>
      </c>
      <c r="CV15" s="61" t="str">
        <f t="shared" si="24"/>
        <v/>
      </c>
      <c r="CW15" s="61" t="str">
        <f t="shared" si="25"/>
        <v/>
      </c>
      <c r="CX15" s="61" t="str">
        <f t="shared" si="26"/>
        <v>FA</v>
      </c>
      <c r="DA15" s="80" t="s">
        <v>217</v>
      </c>
      <c r="DG15" s="80" t="s">
        <v>217</v>
      </c>
      <c r="DH15" s="61" t="str">
        <f t="shared" si="27"/>
        <v/>
      </c>
      <c r="DJ15" s="80" t="s">
        <v>217</v>
      </c>
      <c r="DK15" s="61" t="str">
        <f t="shared" si="28"/>
        <v/>
      </c>
      <c r="DL15" s="61" t="str">
        <f t="shared" si="29"/>
        <v/>
      </c>
      <c r="DN15" s="80" t="s">
        <v>217</v>
      </c>
      <c r="DO15" s="80" t="s">
        <v>217</v>
      </c>
      <c r="DY15" s="80" t="s">
        <v>217</v>
      </c>
      <c r="EB15" s="80" t="s">
        <v>392</v>
      </c>
      <c r="ED15" s="80">
        <v>5.0</v>
      </c>
      <c r="EE15" s="80" t="s">
        <v>393</v>
      </c>
      <c r="EF15" s="112">
        <v>363538.0</v>
      </c>
      <c r="EI15" s="80" t="s">
        <v>217</v>
      </c>
      <c r="EJ15" s="80" t="s">
        <v>217</v>
      </c>
    </row>
    <row r="16" ht="1.5" customHeight="1">
      <c r="A16" s="114" t="s">
        <v>395</v>
      </c>
      <c r="B16" s="113" t="s">
        <v>396</v>
      </c>
      <c r="C16" s="80" t="s">
        <v>245</v>
      </c>
      <c r="D16" s="80" t="s">
        <v>397</v>
      </c>
      <c r="E16" s="80" t="s">
        <v>217</v>
      </c>
      <c r="F16" s="80" t="s">
        <v>209</v>
      </c>
      <c r="G16" s="80" t="s">
        <v>211</v>
      </c>
      <c r="H16" s="61" t="str">
        <f t="shared" si="3"/>
        <v/>
      </c>
      <c r="I16" s="61" t="str">
        <f t="shared" si="4"/>
        <v/>
      </c>
      <c r="J16" s="61" t="str">
        <f t="shared" si="5"/>
        <v/>
      </c>
      <c r="K16" s="61" t="str">
        <f t="shared" si="6"/>
        <v/>
      </c>
      <c r="L16" s="61" t="str">
        <f t="shared" si="7"/>
        <v/>
      </c>
      <c r="M16" s="61">
        <f t="shared" si="8"/>
        <v>1</v>
      </c>
      <c r="N16" s="61" t="b">
        <f t="shared" si="9"/>
        <v>1</v>
      </c>
      <c r="O16" s="61" t="b">
        <f t="shared" si="10"/>
        <v>1</v>
      </c>
      <c r="P16" s="80">
        <v>1.0</v>
      </c>
      <c r="Q16" s="80">
        <v>1.0</v>
      </c>
      <c r="S16" s="61" t="b">
        <f t="shared" si="11"/>
        <v>1</v>
      </c>
      <c r="T16" s="80">
        <v>1.0</v>
      </c>
      <c r="U16" s="80">
        <v>1.0</v>
      </c>
      <c r="W16" s="80" t="s">
        <v>398</v>
      </c>
      <c r="X16" s="61" t="str">
        <f t="shared" si="30"/>
        <v/>
      </c>
      <c r="Y16" s="61" t="str">
        <f t="shared" si="12"/>
        <v/>
      </c>
      <c r="Z16" s="80" t="s">
        <v>399</v>
      </c>
      <c r="AA16" s="80" t="s">
        <v>266</v>
      </c>
      <c r="AC16" s="61">
        <f>countif('Charts-SLR'!A:A,AA16)</f>
        <v>1</v>
      </c>
      <c r="AD16" s="80" t="s">
        <v>400</v>
      </c>
      <c r="AE16" s="61">
        <f t="shared" si="13"/>
        <v>0</v>
      </c>
      <c r="AF16" s="80">
        <v>2008.0</v>
      </c>
      <c r="AG16" s="80" t="s">
        <v>268</v>
      </c>
      <c r="AH16" s="80">
        <v>14.0</v>
      </c>
      <c r="AI16" s="108">
        <f t="shared" si="14"/>
        <v>3.5</v>
      </c>
      <c r="AJ16" s="61" t="str">
        <f t="shared" si="15"/>
        <v/>
      </c>
      <c r="AK16" s="61" t="str">
        <f t="shared" si="16"/>
        <v/>
      </c>
      <c r="AL16" s="61" t="str">
        <f t="shared" si="17"/>
        <v/>
      </c>
      <c r="AM16" s="61" t="str">
        <f t="shared" si="18"/>
        <v/>
      </c>
      <c r="AN16" s="61">
        <f t="shared" si="19"/>
        <v>14</v>
      </c>
      <c r="AO16" s="61" t="str">
        <f t="shared" si="20"/>
        <v/>
      </c>
      <c r="AP16" s="80" t="s">
        <v>217</v>
      </c>
      <c r="AQ16" s="80" t="s">
        <v>217</v>
      </c>
      <c r="AV16" s="61">
        <f t="shared" si="21"/>
        <v>2</v>
      </c>
      <c r="AX16" s="80" t="s">
        <v>217</v>
      </c>
      <c r="BE16" s="80" t="s">
        <v>217</v>
      </c>
      <c r="BL16" s="80" t="s">
        <v>217</v>
      </c>
      <c r="BN16" s="80" t="s">
        <v>217</v>
      </c>
      <c r="BO16" s="218" t="str">
        <f t="shared" si="34"/>
        <v/>
      </c>
      <c r="BP16" s="61">
        <f t="shared" si="33"/>
        <v>2</v>
      </c>
      <c r="BQ16" s="80" t="s">
        <v>217</v>
      </c>
      <c r="BT16" s="80" t="s">
        <v>217</v>
      </c>
      <c r="BV16" s="80" t="s">
        <v>217</v>
      </c>
      <c r="CD16" s="80" t="s">
        <v>217</v>
      </c>
      <c r="CM16" s="61">
        <f t="shared" si="22"/>
        <v>1</v>
      </c>
      <c r="CR16" s="80" t="s">
        <v>217</v>
      </c>
      <c r="CS16" s="61">
        <f t="shared" si="23"/>
        <v>1</v>
      </c>
      <c r="CU16" s="80" t="s">
        <v>217</v>
      </c>
      <c r="CV16" s="61" t="str">
        <f t="shared" si="24"/>
        <v/>
      </c>
      <c r="CW16" s="61" t="str">
        <f t="shared" si="25"/>
        <v/>
      </c>
      <c r="CX16" s="61" t="str">
        <f t="shared" si="26"/>
        <v>FA</v>
      </c>
      <c r="DA16" s="80" t="s">
        <v>217</v>
      </c>
      <c r="DB16" s="80" t="s">
        <v>217</v>
      </c>
      <c r="DG16" s="80" t="s">
        <v>217</v>
      </c>
      <c r="DH16" s="61" t="str">
        <f t="shared" si="27"/>
        <v/>
      </c>
      <c r="DI16" s="80" t="s">
        <v>217</v>
      </c>
      <c r="DK16" s="61" t="str">
        <f t="shared" si="28"/>
        <v/>
      </c>
      <c r="DL16" s="61" t="str">
        <f t="shared" si="29"/>
        <v/>
      </c>
      <c r="DP16" s="80" t="s">
        <v>217</v>
      </c>
      <c r="DT16" s="80" t="s">
        <v>217</v>
      </c>
      <c r="EB16" s="80" t="s">
        <v>405</v>
      </c>
      <c r="ED16" s="80">
        <v>4.0</v>
      </c>
      <c r="EE16" s="80" t="s">
        <v>406</v>
      </c>
      <c r="EF16" s="112">
        <v>76256.0</v>
      </c>
      <c r="EG16" s="80" t="s">
        <v>407</v>
      </c>
      <c r="EI16" s="80" t="s">
        <v>217</v>
      </c>
    </row>
    <row r="17" ht="1.5" customHeight="1">
      <c r="A17" s="80" t="s">
        <v>409</v>
      </c>
      <c r="B17" s="113" t="s">
        <v>410</v>
      </c>
      <c r="C17" s="80" t="s">
        <v>245</v>
      </c>
      <c r="D17" s="80" t="s">
        <v>411</v>
      </c>
      <c r="E17" s="80" t="s">
        <v>217</v>
      </c>
      <c r="F17" s="80" t="s">
        <v>209</v>
      </c>
      <c r="G17" s="80" t="s">
        <v>211</v>
      </c>
      <c r="H17" s="61" t="str">
        <f t="shared" si="3"/>
        <v/>
      </c>
      <c r="I17" s="61" t="str">
        <f t="shared" si="4"/>
        <v/>
      </c>
      <c r="J17" s="61" t="str">
        <f t="shared" si="5"/>
        <v/>
      </c>
      <c r="K17" s="61" t="str">
        <f t="shared" si="6"/>
        <v/>
      </c>
      <c r="L17" s="61" t="str">
        <f t="shared" si="7"/>
        <v/>
      </c>
      <c r="M17" s="61">
        <f t="shared" si="8"/>
        <v>1</v>
      </c>
      <c r="N17" s="61" t="b">
        <f t="shared" si="9"/>
        <v>1</v>
      </c>
      <c r="O17" s="61" t="b">
        <f t="shared" si="10"/>
        <v>1</v>
      </c>
      <c r="P17" s="80">
        <v>1.0</v>
      </c>
      <c r="Q17" s="80">
        <v>1.0</v>
      </c>
      <c r="R17" s="80">
        <v>1.0</v>
      </c>
      <c r="S17" s="61" t="b">
        <f t="shared" si="11"/>
        <v>1</v>
      </c>
      <c r="T17" s="80">
        <v>1.0</v>
      </c>
      <c r="U17" s="80">
        <v>1.0</v>
      </c>
      <c r="V17" s="80">
        <v>1.0</v>
      </c>
      <c r="X17" s="61" t="str">
        <f t="shared" si="30"/>
        <v>Sprenkle:issre07, </v>
      </c>
      <c r="Y17" s="61" t="str">
        <f t="shared" si="12"/>
        <v/>
      </c>
      <c r="Z17" s="80" t="s">
        <v>412</v>
      </c>
      <c r="AA17" s="80" t="s">
        <v>266</v>
      </c>
      <c r="AC17" s="61">
        <f>countif('Charts-SLR'!A:A,AA17)</f>
        <v>1</v>
      </c>
      <c r="AD17" s="80" t="s">
        <v>413</v>
      </c>
      <c r="AE17" s="61">
        <f t="shared" si="13"/>
        <v>0</v>
      </c>
      <c r="AF17" s="80">
        <v>2007.0</v>
      </c>
      <c r="AG17" s="80" t="s">
        <v>250</v>
      </c>
      <c r="AH17" s="80">
        <v>23.0</v>
      </c>
      <c r="AI17" s="108">
        <f t="shared" si="14"/>
        <v>4.6</v>
      </c>
      <c r="AJ17" s="61" t="str">
        <f t="shared" si="15"/>
        <v/>
      </c>
      <c r="AK17" s="61">
        <f t="shared" si="16"/>
        <v>23</v>
      </c>
      <c r="AL17" s="61" t="str">
        <f t="shared" si="17"/>
        <v/>
      </c>
      <c r="AM17" s="61" t="str">
        <f t="shared" si="18"/>
        <v/>
      </c>
      <c r="AN17" s="61" t="str">
        <f t="shared" si="19"/>
        <v/>
      </c>
      <c r="AO17" s="61" t="str">
        <f t="shared" si="20"/>
        <v>Sprenkle:issre07, </v>
      </c>
      <c r="AQ17" s="80" t="s">
        <v>217</v>
      </c>
      <c r="AU17" s="80" t="s">
        <v>217</v>
      </c>
      <c r="AV17" s="61">
        <f t="shared" si="21"/>
        <v>2</v>
      </c>
      <c r="AX17" s="80" t="s">
        <v>217</v>
      </c>
      <c r="BF17" s="80" t="s">
        <v>217</v>
      </c>
      <c r="BK17" s="80" t="s">
        <v>217</v>
      </c>
      <c r="BN17" s="80" t="s">
        <v>217</v>
      </c>
      <c r="BO17" s="218" t="str">
        <f t="shared" si="34"/>
        <v/>
      </c>
      <c r="BP17" s="61">
        <f t="shared" si="33"/>
        <v>2</v>
      </c>
      <c r="BQ17" s="80" t="s">
        <v>217</v>
      </c>
      <c r="CA17" s="80" t="s">
        <v>217</v>
      </c>
      <c r="CD17" s="80" t="s">
        <v>217</v>
      </c>
      <c r="CM17" s="61">
        <f t="shared" si="22"/>
        <v>1</v>
      </c>
      <c r="CP17" s="80" t="s">
        <v>217</v>
      </c>
      <c r="CS17" s="61">
        <f t="shared" si="23"/>
        <v>1</v>
      </c>
      <c r="CU17" s="80" t="s">
        <v>217</v>
      </c>
      <c r="CV17" s="61" t="str">
        <f t="shared" si="24"/>
        <v/>
      </c>
      <c r="CW17" s="61" t="str">
        <f t="shared" si="25"/>
        <v/>
      </c>
      <c r="CX17" s="61" t="str">
        <f t="shared" si="26"/>
        <v>FA</v>
      </c>
      <c r="DA17" s="80" t="s">
        <v>217</v>
      </c>
      <c r="DB17" s="80" t="s">
        <v>217</v>
      </c>
      <c r="DG17" s="80" t="s">
        <v>217</v>
      </c>
      <c r="DH17" s="61" t="str">
        <f t="shared" si="27"/>
        <v/>
      </c>
      <c r="DI17" s="80" t="s">
        <v>217</v>
      </c>
      <c r="DK17" s="61" t="str">
        <f t="shared" si="28"/>
        <v/>
      </c>
      <c r="DL17" s="61" t="str">
        <f t="shared" si="29"/>
        <v/>
      </c>
      <c r="DM17" s="80" t="s">
        <v>217</v>
      </c>
      <c r="DT17" s="80" t="s">
        <v>217</v>
      </c>
      <c r="ED17" s="80">
        <v>4.0</v>
      </c>
      <c r="EE17" s="80" t="s">
        <v>418</v>
      </c>
      <c r="EF17" s="112">
        <v>67250.0</v>
      </c>
      <c r="EG17" s="80" t="s">
        <v>419</v>
      </c>
      <c r="EH17" s="80" t="s">
        <v>217</v>
      </c>
      <c r="EI17" s="80" t="s">
        <v>217</v>
      </c>
    </row>
    <row r="18" ht="1.5" customHeight="1">
      <c r="A18" s="114" t="s">
        <v>433</v>
      </c>
      <c r="B18" s="113" t="s">
        <v>434</v>
      </c>
      <c r="C18" s="80" t="s">
        <v>245</v>
      </c>
      <c r="D18" s="80" t="s">
        <v>435</v>
      </c>
      <c r="E18" s="80" t="s">
        <v>217</v>
      </c>
      <c r="F18" s="80" t="s">
        <v>209</v>
      </c>
      <c r="G18" s="80" t="s">
        <v>211</v>
      </c>
      <c r="H18" s="61" t="str">
        <f t="shared" si="3"/>
        <v/>
      </c>
      <c r="I18" s="61" t="str">
        <f t="shared" si="4"/>
        <v/>
      </c>
      <c r="J18" s="61" t="str">
        <f t="shared" si="5"/>
        <v/>
      </c>
      <c r="K18" s="61" t="str">
        <f t="shared" si="6"/>
        <v/>
      </c>
      <c r="L18" s="61" t="str">
        <f t="shared" si="7"/>
        <v/>
      </c>
      <c r="M18" s="61">
        <f t="shared" si="8"/>
        <v>1</v>
      </c>
      <c r="N18" s="61" t="b">
        <f t="shared" si="9"/>
        <v>1</v>
      </c>
      <c r="O18" s="61" t="b">
        <f t="shared" si="10"/>
        <v>1</v>
      </c>
      <c r="P18" s="80">
        <v>1.0</v>
      </c>
      <c r="Q18" s="80">
        <v>1.0</v>
      </c>
      <c r="S18" s="61" t="b">
        <f t="shared" si="11"/>
        <v>1</v>
      </c>
      <c r="T18" s="80">
        <v>1.0</v>
      </c>
      <c r="U18" s="80">
        <v>1.0</v>
      </c>
      <c r="W18" s="80" t="s">
        <v>436</v>
      </c>
      <c r="X18" s="61" t="str">
        <f t="shared" si="30"/>
        <v/>
      </c>
      <c r="Y18" s="61" t="str">
        <f t="shared" si="12"/>
        <v/>
      </c>
      <c r="Z18" s="80" t="s">
        <v>437</v>
      </c>
      <c r="AA18" s="80" t="s">
        <v>438</v>
      </c>
      <c r="AB18" s="80" t="s">
        <v>217</v>
      </c>
      <c r="AC18" s="80">
        <v>1.0</v>
      </c>
      <c r="AD18" s="80" t="s">
        <v>267</v>
      </c>
      <c r="AE18" s="61">
        <f t="shared" si="13"/>
        <v>0</v>
      </c>
      <c r="AF18" s="80">
        <v>2008.0</v>
      </c>
      <c r="AG18" s="80" t="s">
        <v>250</v>
      </c>
      <c r="AH18" s="80">
        <v>16.0</v>
      </c>
      <c r="AI18" s="108">
        <f t="shared" si="14"/>
        <v>4</v>
      </c>
      <c r="AJ18" s="61" t="str">
        <f t="shared" si="15"/>
        <v/>
      </c>
      <c r="AK18" s="61">
        <f t="shared" si="16"/>
        <v>16</v>
      </c>
      <c r="AL18" s="61" t="str">
        <f t="shared" si="17"/>
        <v/>
      </c>
      <c r="AM18" s="61" t="str">
        <f t="shared" si="18"/>
        <v/>
      </c>
      <c r="AN18" s="61" t="str">
        <f t="shared" si="19"/>
        <v/>
      </c>
      <c r="AO18" s="61" t="str">
        <f t="shared" si="20"/>
        <v/>
      </c>
      <c r="AP18" s="80" t="s">
        <v>217</v>
      </c>
      <c r="AQ18" s="80" t="s">
        <v>217</v>
      </c>
      <c r="AV18" s="61">
        <f t="shared" si="21"/>
        <v>2</v>
      </c>
      <c r="AX18" s="80" t="s">
        <v>217</v>
      </c>
      <c r="BE18" s="80" t="s">
        <v>217</v>
      </c>
      <c r="BL18" s="80" t="s">
        <v>217</v>
      </c>
      <c r="BN18" s="80" t="s">
        <v>217</v>
      </c>
      <c r="BO18" s="218" t="str">
        <f t="shared" si="34"/>
        <v/>
      </c>
      <c r="BP18" s="61">
        <f t="shared" si="33"/>
        <v>2</v>
      </c>
      <c r="BR18" s="80" t="s">
        <v>217</v>
      </c>
      <c r="BT18" s="80" t="s">
        <v>217</v>
      </c>
      <c r="BX18" s="80" t="s">
        <v>217</v>
      </c>
      <c r="CF18" s="80" t="s">
        <v>217</v>
      </c>
      <c r="CK18" s="80" t="s">
        <v>217</v>
      </c>
      <c r="CM18" s="61">
        <f t="shared" si="22"/>
        <v>2</v>
      </c>
      <c r="CN18" s="80" t="s">
        <v>217</v>
      </c>
      <c r="CR18" s="80" t="s">
        <v>217</v>
      </c>
      <c r="CS18" s="61">
        <f t="shared" si="23"/>
        <v>2</v>
      </c>
      <c r="CU18" s="80" t="s">
        <v>217</v>
      </c>
      <c r="CV18" s="61" t="str">
        <f t="shared" si="24"/>
        <v/>
      </c>
      <c r="CW18" s="61" t="str">
        <f t="shared" si="25"/>
        <v/>
      </c>
      <c r="CX18" s="61" t="str">
        <f t="shared" si="26"/>
        <v>FA</v>
      </c>
      <c r="DA18" s="80" t="s">
        <v>217</v>
      </c>
      <c r="DE18" s="80" t="s">
        <v>1380</v>
      </c>
      <c r="DG18" s="80" t="s">
        <v>217</v>
      </c>
      <c r="DH18" s="61" t="str">
        <f t="shared" si="27"/>
        <v/>
      </c>
      <c r="DI18" s="80" t="s">
        <v>217</v>
      </c>
      <c r="DK18" s="61" t="str">
        <f t="shared" si="28"/>
        <v/>
      </c>
      <c r="DL18" s="61" t="str">
        <f t="shared" si="29"/>
        <v/>
      </c>
      <c r="DP18" s="80" t="s">
        <v>217</v>
      </c>
      <c r="DZ18" s="80" t="s">
        <v>217</v>
      </c>
      <c r="ED18" s="80">
        <v>1.0</v>
      </c>
      <c r="EE18" s="80" t="s">
        <v>444</v>
      </c>
      <c r="EF18" s="116"/>
      <c r="EI18" s="80" t="s">
        <v>217</v>
      </c>
    </row>
    <row r="19" ht="1.5" customHeight="1">
      <c r="A19" s="80" t="s">
        <v>460</v>
      </c>
      <c r="B19" s="113" t="s">
        <v>1381</v>
      </c>
      <c r="C19" s="80" t="s">
        <v>210</v>
      </c>
      <c r="D19" s="80" t="s">
        <v>462</v>
      </c>
      <c r="E19" s="80" t="s">
        <v>217</v>
      </c>
      <c r="F19" s="80" t="s">
        <v>209</v>
      </c>
      <c r="G19" s="80" t="s">
        <v>211</v>
      </c>
      <c r="H19" s="61" t="str">
        <f t="shared" si="3"/>
        <v/>
      </c>
      <c r="I19" s="61" t="str">
        <f t="shared" si="4"/>
        <v/>
      </c>
      <c r="J19" s="61">
        <f t="shared" si="5"/>
        <v>1</v>
      </c>
      <c r="K19" s="61" t="str">
        <f t="shared" si="6"/>
        <v/>
      </c>
      <c r="L19" s="61" t="str">
        <f t="shared" si="7"/>
        <v/>
      </c>
      <c r="M19" s="61" t="str">
        <f t="shared" si="8"/>
        <v/>
      </c>
      <c r="N19" s="61" t="b">
        <f t="shared" si="9"/>
        <v>1</v>
      </c>
      <c r="O19" s="61" t="b">
        <f>SUM(T19:V19)&gt;=2</f>
        <v>1</v>
      </c>
      <c r="P19" s="80">
        <v>1.0</v>
      </c>
      <c r="Q19" s="80">
        <v>1.0</v>
      </c>
      <c r="R19" s="80">
        <v>1.0</v>
      </c>
      <c r="S19" s="61" t="b">
        <f t="shared" si="11"/>
        <v>1</v>
      </c>
      <c r="T19" s="80">
        <v>1.0</v>
      </c>
      <c r="U19" s="80">
        <v>1.0</v>
      </c>
      <c r="X19" s="61" t="str">
        <f t="shared" si="30"/>
        <v/>
      </c>
      <c r="Y19" s="61" t="str">
        <f t="shared" si="12"/>
        <v/>
      </c>
      <c r="Z19" s="114" t="s">
        <v>463</v>
      </c>
      <c r="AA19" s="80" t="s">
        <v>464</v>
      </c>
      <c r="AC19" s="61">
        <f>countif('Charts-SLR'!A:A,AA19)</f>
        <v>1</v>
      </c>
      <c r="AD19" s="80" t="s">
        <v>465</v>
      </c>
      <c r="AE19" s="61">
        <f t="shared" si="13"/>
        <v>0</v>
      </c>
      <c r="AF19" s="80">
        <v>2010.0</v>
      </c>
      <c r="AG19" s="80" t="s">
        <v>250</v>
      </c>
      <c r="AH19" s="80">
        <v>1.0</v>
      </c>
      <c r="AI19" s="108">
        <f t="shared" si="14"/>
        <v>0.5</v>
      </c>
      <c r="AJ19" s="61" t="str">
        <f t="shared" si="15"/>
        <v/>
      </c>
      <c r="AK19" s="61">
        <f t="shared" si="16"/>
        <v>1</v>
      </c>
      <c r="AL19" s="61" t="str">
        <f t="shared" si="17"/>
        <v/>
      </c>
      <c r="AM19" s="61" t="str">
        <f t="shared" si="18"/>
        <v/>
      </c>
      <c r="AN19" s="61" t="str">
        <f t="shared" si="19"/>
        <v/>
      </c>
      <c r="AO19" s="61" t="str">
        <f t="shared" si="20"/>
        <v/>
      </c>
      <c r="AQ19" s="80" t="s">
        <v>217</v>
      </c>
      <c r="AS19" s="80" t="s">
        <v>217</v>
      </c>
      <c r="AV19" s="61">
        <f t="shared" si="21"/>
        <v>2</v>
      </c>
      <c r="AX19" s="80" t="s">
        <v>217</v>
      </c>
      <c r="BD19" s="80" t="s">
        <v>217</v>
      </c>
      <c r="BG19" s="80" t="s">
        <v>217</v>
      </c>
      <c r="BN19" s="80" t="s">
        <v>217</v>
      </c>
      <c r="BO19" s="218" t="str">
        <f t="shared" si="34"/>
        <v/>
      </c>
      <c r="BP19" s="61">
        <f t="shared" si="33"/>
        <v>2</v>
      </c>
      <c r="BQ19" s="80" t="s">
        <v>217</v>
      </c>
      <c r="BT19" s="80" t="s">
        <v>217</v>
      </c>
      <c r="CD19" s="80" t="s">
        <v>217</v>
      </c>
      <c r="CE19" s="80" t="s">
        <v>217</v>
      </c>
      <c r="CM19" s="61">
        <f t="shared" si="22"/>
        <v>2</v>
      </c>
      <c r="CO19" s="80" t="s">
        <v>217</v>
      </c>
      <c r="CS19" s="61">
        <f t="shared" si="23"/>
        <v>1</v>
      </c>
      <c r="CU19" s="80" t="s">
        <v>217</v>
      </c>
      <c r="CV19" s="61" t="str">
        <f t="shared" si="24"/>
        <v/>
      </c>
      <c r="CW19" s="61" t="str">
        <f t="shared" si="25"/>
        <v/>
      </c>
      <c r="CX19" s="61" t="str">
        <f t="shared" si="26"/>
        <v>FA</v>
      </c>
      <c r="CY19" s="80" t="s">
        <v>217</v>
      </c>
      <c r="DG19" s="80" t="s">
        <v>217</v>
      </c>
      <c r="DH19" s="61" t="str">
        <f t="shared" si="27"/>
        <v/>
      </c>
      <c r="DI19" s="80" t="s">
        <v>217</v>
      </c>
      <c r="DK19" s="61" t="str">
        <f t="shared" si="28"/>
        <v/>
      </c>
      <c r="DL19" s="61" t="str">
        <f t="shared" si="29"/>
        <v/>
      </c>
      <c r="DQ19" s="80" t="s">
        <v>217</v>
      </c>
      <c r="DS19" s="80" t="s">
        <v>217</v>
      </c>
      <c r="EB19" s="80" t="s">
        <v>467</v>
      </c>
      <c r="ED19" s="80">
        <v>2.0</v>
      </c>
      <c r="EE19" s="80" t="s">
        <v>468</v>
      </c>
      <c r="EF19" s="116"/>
      <c r="EI19" s="80" t="s">
        <v>469</v>
      </c>
    </row>
    <row r="20" ht="6.0" customHeight="1">
      <c r="A20" s="80" t="s">
        <v>471</v>
      </c>
      <c r="B20" s="113" t="s">
        <v>472</v>
      </c>
      <c r="C20" s="80" t="s">
        <v>209</v>
      </c>
      <c r="D20" s="80" t="s">
        <v>473</v>
      </c>
      <c r="E20" s="80" t="s">
        <v>217</v>
      </c>
      <c r="F20" s="80" t="s">
        <v>245</v>
      </c>
      <c r="G20" s="80" t="s">
        <v>227</v>
      </c>
      <c r="H20" s="61" t="str">
        <f t="shared" si="3"/>
        <v/>
      </c>
      <c r="I20" s="61">
        <f t="shared" si="4"/>
        <v>1</v>
      </c>
      <c r="J20" s="61" t="str">
        <f t="shared" si="5"/>
        <v/>
      </c>
      <c r="K20" s="61" t="str">
        <f t="shared" si="6"/>
        <v/>
      </c>
      <c r="L20" s="61" t="str">
        <f t="shared" si="7"/>
        <v/>
      </c>
      <c r="M20" s="61" t="str">
        <f t="shared" si="8"/>
        <v/>
      </c>
      <c r="N20" s="61" t="b">
        <f t="shared" si="9"/>
        <v>1</v>
      </c>
      <c r="O20" s="61" t="b">
        <f t="shared" ref="O20:O51" si="35">SUM(P20:R20)&gt;=2</f>
        <v>1</v>
      </c>
      <c r="P20" s="80">
        <v>1.0</v>
      </c>
      <c r="Q20" s="80">
        <v>1.0</v>
      </c>
      <c r="R20" s="80">
        <v>1.0</v>
      </c>
      <c r="S20" s="61" t="b">
        <f t="shared" si="11"/>
        <v>1</v>
      </c>
      <c r="T20" s="80">
        <v>1.0</v>
      </c>
      <c r="U20" s="80">
        <v>1.0</v>
      </c>
      <c r="V20" s="80">
        <v>1.0</v>
      </c>
      <c r="X20" s="61" t="str">
        <f t="shared" si="30"/>
        <v/>
      </c>
      <c r="Y20" s="61" t="str">
        <f t="shared" si="12"/>
        <v/>
      </c>
      <c r="Z20" s="114" t="s">
        <v>474</v>
      </c>
      <c r="AA20" s="80" t="s">
        <v>266</v>
      </c>
      <c r="AC20" s="61">
        <f>countif('Charts-SLR'!A:A,AA20)</f>
        <v>1</v>
      </c>
      <c r="AD20" s="80" t="s">
        <v>475</v>
      </c>
      <c r="AE20" s="61">
        <f t="shared" si="13"/>
        <v>0</v>
      </c>
      <c r="AF20" s="80">
        <v>2011.0</v>
      </c>
      <c r="AG20" s="80" t="s">
        <v>231</v>
      </c>
      <c r="AH20" s="80">
        <v>1.0</v>
      </c>
      <c r="AI20" s="108">
        <f t="shared" si="14"/>
        <v>1</v>
      </c>
      <c r="AJ20" s="61">
        <f t="shared" si="15"/>
        <v>1</v>
      </c>
      <c r="AK20" s="61" t="str">
        <f t="shared" si="16"/>
        <v/>
      </c>
      <c r="AL20" s="61" t="str">
        <f t="shared" si="17"/>
        <v/>
      </c>
      <c r="AM20" s="61" t="str">
        <f t="shared" si="18"/>
        <v/>
      </c>
      <c r="AN20" s="61" t="str">
        <f t="shared" si="19"/>
        <v/>
      </c>
      <c r="AO20" s="61" t="str">
        <f t="shared" si="20"/>
        <v/>
      </c>
      <c r="AP20" s="80" t="s">
        <v>217</v>
      </c>
      <c r="AQ20" s="80" t="s">
        <v>217</v>
      </c>
      <c r="AT20" s="80" t="s">
        <v>217</v>
      </c>
      <c r="AV20" s="61">
        <f t="shared" si="21"/>
        <v>3</v>
      </c>
      <c r="AX20" s="80" t="s">
        <v>217</v>
      </c>
      <c r="BD20" s="80" t="s">
        <v>217</v>
      </c>
      <c r="BJ20" s="80" t="s">
        <v>217</v>
      </c>
      <c r="BK20" s="80" t="s">
        <v>217</v>
      </c>
      <c r="BN20" s="80" t="s">
        <v>217</v>
      </c>
      <c r="BO20" s="218" t="str">
        <f t="shared" si="34"/>
        <v/>
      </c>
      <c r="BP20" s="61">
        <f t="shared" si="33"/>
        <v>2</v>
      </c>
      <c r="BS20" s="80" t="s">
        <v>217</v>
      </c>
      <c r="BT20" s="80" t="s">
        <v>217</v>
      </c>
      <c r="CD20" s="80" t="s">
        <v>217</v>
      </c>
      <c r="CM20" s="61">
        <f t="shared" si="22"/>
        <v>1</v>
      </c>
      <c r="CP20" s="80" t="s">
        <v>217</v>
      </c>
      <c r="CS20" s="61">
        <f t="shared" si="23"/>
        <v>1</v>
      </c>
      <c r="CU20" s="80" t="s">
        <v>217</v>
      </c>
      <c r="CV20" s="61" t="str">
        <f t="shared" si="24"/>
        <v/>
      </c>
      <c r="CW20" s="61" t="str">
        <f t="shared" si="25"/>
        <v/>
      </c>
      <c r="CX20" s="61" t="str">
        <f t="shared" si="26"/>
        <v>FA</v>
      </c>
      <c r="CZ20" s="80" t="s">
        <v>217</v>
      </c>
      <c r="DG20" s="80" t="s">
        <v>217</v>
      </c>
      <c r="DH20" s="61" t="str">
        <f t="shared" si="27"/>
        <v/>
      </c>
      <c r="DI20" s="80" t="s">
        <v>217</v>
      </c>
      <c r="DK20" s="61" t="str">
        <f t="shared" si="28"/>
        <v/>
      </c>
      <c r="DL20" s="61" t="str">
        <f t="shared" si="29"/>
        <v/>
      </c>
      <c r="DS20" s="80" t="s">
        <v>217</v>
      </c>
      <c r="EB20" s="80" t="s">
        <v>481</v>
      </c>
      <c r="ED20" s="80" t="s">
        <v>482</v>
      </c>
      <c r="EE20" s="80" t="s">
        <v>482</v>
      </c>
      <c r="EF20" s="112">
        <v>375000.0</v>
      </c>
      <c r="EI20" s="80" t="s">
        <v>483</v>
      </c>
    </row>
    <row r="21" ht="1.5" customHeight="1">
      <c r="A21" s="80" t="s">
        <v>485</v>
      </c>
      <c r="B21" s="113" t="s">
        <v>486</v>
      </c>
      <c r="C21" s="80" t="s">
        <v>245</v>
      </c>
      <c r="D21" s="80" t="s">
        <v>487</v>
      </c>
      <c r="E21" s="80" t="s">
        <v>217</v>
      </c>
      <c r="F21" s="80" t="s">
        <v>209</v>
      </c>
      <c r="G21" s="80" t="s">
        <v>211</v>
      </c>
      <c r="H21" s="61" t="str">
        <f t="shared" si="3"/>
        <v/>
      </c>
      <c r="I21" s="61" t="str">
        <f t="shared" si="4"/>
        <v/>
      </c>
      <c r="J21" s="61" t="str">
        <f t="shared" si="5"/>
        <v/>
      </c>
      <c r="K21" s="61" t="str">
        <f t="shared" si="6"/>
        <v/>
      </c>
      <c r="L21" s="61" t="str">
        <f t="shared" si="7"/>
        <v/>
      </c>
      <c r="M21" s="61">
        <f t="shared" si="8"/>
        <v>1</v>
      </c>
      <c r="N21" s="61" t="b">
        <f t="shared" si="9"/>
        <v>1</v>
      </c>
      <c r="O21" s="61" t="b">
        <f t="shared" si="35"/>
        <v>1</v>
      </c>
      <c r="P21" s="80">
        <v>1.0</v>
      </c>
      <c r="Q21" s="80">
        <v>1.0</v>
      </c>
      <c r="R21" s="80">
        <v>1.0</v>
      </c>
      <c r="S21" s="61" t="b">
        <f t="shared" si="11"/>
        <v>1</v>
      </c>
      <c r="T21" s="80">
        <v>1.0</v>
      </c>
      <c r="U21" s="80">
        <v>1.0</v>
      </c>
      <c r="V21" s="80">
        <v>1.0</v>
      </c>
      <c r="X21" s="61" t="str">
        <f t="shared" si="30"/>
        <v/>
      </c>
      <c r="Y21" s="61" t="str">
        <f t="shared" si="12"/>
        <v/>
      </c>
      <c r="Z21" s="114" t="s">
        <v>488</v>
      </c>
      <c r="AA21" s="80" t="s">
        <v>266</v>
      </c>
      <c r="AC21" s="61">
        <f>countif('Charts-SLR'!A:A,AA21)</f>
        <v>1</v>
      </c>
      <c r="AD21" s="80" t="s">
        <v>312</v>
      </c>
      <c r="AE21" s="61">
        <f t="shared" si="13"/>
        <v>0</v>
      </c>
      <c r="AF21" s="80">
        <v>2009.0</v>
      </c>
      <c r="AG21" s="80" t="s">
        <v>231</v>
      </c>
      <c r="AH21" s="80">
        <v>8.0</v>
      </c>
      <c r="AI21" s="108">
        <f t="shared" si="14"/>
        <v>2.666666667</v>
      </c>
      <c r="AJ21" s="61">
        <f t="shared" si="15"/>
        <v>8</v>
      </c>
      <c r="AK21" s="61" t="str">
        <f t="shared" si="16"/>
        <v/>
      </c>
      <c r="AL21" s="61" t="str">
        <f t="shared" si="17"/>
        <v/>
      </c>
      <c r="AM21" s="61" t="str">
        <f t="shared" si="18"/>
        <v/>
      </c>
      <c r="AN21" s="61" t="str">
        <f t="shared" si="19"/>
        <v/>
      </c>
      <c r="AO21" s="61" t="str">
        <f t="shared" si="20"/>
        <v/>
      </c>
      <c r="AP21" s="80" t="s">
        <v>217</v>
      </c>
      <c r="AQ21" s="80" t="s">
        <v>217</v>
      </c>
      <c r="AR21" s="80" t="s">
        <v>217</v>
      </c>
      <c r="AV21" s="61">
        <f t="shared" si="21"/>
        <v>3</v>
      </c>
      <c r="AX21" s="80" t="s">
        <v>217</v>
      </c>
      <c r="BD21" s="80" t="s">
        <v>217</v>
      </c>
      <c r="BG21" s="80" t="s">
        <v>217</v>
      </c>
      <c r="BK21" s="80" t="s">
        <v>217</v>
      </c>
      <c r="BN21" s="80" t="s">
        <v>217</v>
      </c>
      <c r="BO21" s="218" t="str">
        <f t="shared" si="34"/>
        <v/>
      </c>
      <c r="BP21" s="61">
        <f t="shared" si="33"/>
        <v>2</v>
      </c>
      <c r="BR21" s="80" t="s">
        <v>217</v>
      </c>
      <c r="BV21" s="80" t="s">
        <v>217</v>
      </c>
      <c r="CK21" s="80">
        <v>1.0</v>
      </c>
      <c r="CM21" s="61">
        <f t="shared" si="22"/>
        <v>1</v>
      </c>
      <c r="CO21" s="80" t="s">
        <v>217</v>
      </c>
      <c r="CP21" s="80" t="s">
        <v>217</v>
      </c>
      <c r="CS21" s="61">
        <f t="shared" si="23"/>
        <v>2</v>
      </c>
      <c r="CT21" s="80" t="s">
        <v>217</v>
      </c>
      <c r="CU21" s="80" t="s">
        <v>217</v>
      </c>
      <c r="CV21" s="61" t="str">
        <f t="shared" si="24"/>
        <v>both</v>
      </c>
      <c r="CW21" s="61" t="str">
        <f t="shared" si="25"/>
        <v/>
      </c>
      <c r="CX21" s="61" t="str">
        <f t="shared" si="26"/>
        <v/>
      </c>
      <c r="DB21" s="80" t="s">
        <v>217</v>
      </c>
      <c r="DG21" s="80" t="s">
        <v>217</v>
      </c>
      <c r="DH21" s="61" t="str">
        <f t="shared" si="27"/>
        <v/>
      </c>
      <c r="DI21" s="80" t="s">
        <v>217</v>
      </c>
      <c r="DK21" s="61" t="str">
        <f t="shared" si="28"/>
        <v/>
      </c>
      <c r="DL21" s="61" t="str">
        <f t="shared" si="29"/>
        <v/>
      </c>
      <c r="DP21" s="80" t="s">
        <v>217</v>
      </c>
      <c r="DX21" s="80" t="s">
        <v>217</v>
      </c>
      <c r="EB21" s="80" t="s">
        <v>493</v>
      </c>
      <c r="ED21" s="80">
        <v>4.0</v>
      </c>
      <c r="EE21" s="80" t="s">
        <v>494</v>
      </c>
      <c r="EF21" s="116"/>
      <c r="EG21" s="80" t="s">
        <v>495</v>
      </c>
      <c r="EH21" s="80" t="s">
        <v>217</v>
      </c>
      <c r="EJ21" s="80" t="s">
        <v>217</v>
      </c>
    </row>
    <row r="22" ht="1.5" customHeight="1">
      <c r="A22" s="114" t="s">
        <v>497</v>
      </c>
      <c r="B22" s="113" t="s">
        <v>498</v>
      </c>
      <c r="C22" s="80" t="s">
        <v>209</v>
      </c>
      <c r="D22" s="80" t="s">
        <v>499</v>
      </c>
      <c r="E22" s="80" t="s">
        <v>217</v>
      </c>
      <c r="F22" s="80" t="s">
        <v>210</v>
      </c>
      <c r="G22" s="80" t="s">
        <v>211</v>
      </c>
      <c r="H22" s="61">
        <f t="shared" si="3"/>
        <v>1</v>
      </c>
      <c r="I22" s="61" t="str">
        <f t="shared" si="4"/>
        <v/>
      </c>
      <c r="J22" s="61" t="str">
        <f t="shared" si="5"/>
        <v/>
      </c>
      <c r="K22" s="61" t="str">
        <f t="shared" si="6"/>
        <v/>
      </c>
      <c r="L22" s="61" t="str">
        <f t="shared" si="7"/>
        <v/>
      </c>
      <c r="M22" s="61" t="str">
        <f t="shared" si="8"/>
        <v/>
      </c>
      <c r="N22" s="61" t="b">
        <f t="shared" si="9"/>
        <v>1</v>
      </c>
      <c r="O22" s="61" t="b">
        <f t="shared" si="35"/>
        <v>1</v>
      </c>
      <c r="P22" s="80">
        <v>1.0</v>
      </c>
      <c r="Q22" s="216">
        <v>1.0</v>
      </c>
      <c r="R22" s="216">
        <v>0.0</v>
      </c>
      <c r="S22" s="61" t="b">
        <f t="shared" si="11"/>
        <v>1</v>
      </c>
      <c r="T22" s="80">
        <v>1.0</v>
      </c>
      <c r="U22" s="80">
        <v>1.0</v>
      </c>
      <c r="V22" s="80">
        <v>1.0</v>
      </c>
      <c r="W22" s="80" t="s">
        <v>500</v>
      </c>
      <c r="X22" s="61" t="str">
        <f t="shared" si="30"/>
        <v/>
      </c>
      <c r="Y22" s="61" t="str">
        <f t="shared" si="12"/>
        <v/>
      </c>
      <c r="Z22" s="114" t="s">
        <v>501</v>
      </c>
      <c r="AA22" s="80" t="s">
        <v>266</v>
      </c>
      <c r="AC22" s="61">
        <f>countif('Charts-SLR'!A:A,AA22)</f>
        <v>1</v>
      </c>
      <c r="AD22" s="80" t="s">
        <v>413</v>
      </c>
      <c r="AE22" s="61">
        <f t="shared" si="13"/>
        <v>0</v>
      </c>
      <c r="AF22" s="80">
        <v>2004.0</v>
      </c>
      <c r="AG22" s="80" t="s">
        <v>268</v>
      </c>
      <c r="AH22" s="80">
        <v>88.0</v>
      </c>
      <c r="AI22" s="108">
        <f t="shared" si="14"/>
        <v>11</v>
      </c>
      <c r="AJ22" s="61" t="str">
        <f t="shared" si="15"/>
        <v/>
      </c>
      <c r="AK22" s="61" t="str">
        <f t="shared" si="16"/>
        <v/>
      </c>
      <c r="AL22" s="61" t="str">
        <f t="shared" si="17"/>
        <v/>
      </c>
      <c r="AM22" s="61" t="str">
        <f t="shared" si="18"/>
        <v/>
      </c>
      <c r="AN22" s="61">
        <f t="shared" si="19"/>
        <v>88</v>
      </c>
      <c r="AO22" s="61" t="str">
        <f t="shared" si="20"/>
        <v/>
      </c>
      <c r="AP22" s="80" t="s">
        <v>217</v>
      </c>
      <c r="AV22" s="61">
        <f t="shared" si="21"/>
        <v>1</v>
      </c>
      <c r="AW22" s="80" t="s">
        <v>217</v>
      </c>
      <c r="BF22" s="80" t="s">
        <v>217</v>
      </c>
      <c r="BG22" s="80" t="s">
        <v>217</v>
      </c>
      <c r="BN22" s="80" t="s">
        <v>217</v>
      </c>
      <c r="BO22" s="218" t="str">
        <f t="shared" si="34"/>
        <v/>
      </c>
      <c r="BP22" s="61">
        <f t="shared" si="33"/>
        <v>2</v>
      </c>
      <c r="BS22" s="80" t="s">
        <v>217</v>
      </c>
      <c r="BT22" s="80" t="s">
        <v>217</v>
      </c>
      <c r="CD22" s="80" t="s">
        <v>217</v>
      </c>
      <c r="CM22" s="61">
        <f t="shared" si="22"/>
        <v>1</v>
      </c>
      <c r="CN22" s="80" t="s">
        <v>217</v>
      </c>
      <c r="CS22" s="61">
        <f t="shared" si="23"/>
        <v>1</v>
      </c>
      <c r="CT22" s="80" t="s">
        <v>217</v>
      </c>
      <c r="CU22" s="80" t="s">
        <v>217</v>
      </c>
      <c r="CV22" s="61" t="str">
        <f t="shared" si="24"/>
        <v>both</v>
      </c>
      <c r="CW22" s="61" t="str">
        <f t="shared" si="25"/>
        <v/>
      </c>
      <c r="CX22" s="61" t="str">
        <f t="shared" si="26"/>
        <v/>
      </c>
      <c r="DC22" s="80" t="s">
        <v>217</v>
      </c>
      <c r="DG22" s="80" t="s">
        <v>217</v>
      </c>
      <c r="DH22" s="61" t="str">
        <f t="shared" si="27"/>
        <v/>
      </c>
      <c r="DI22" s="80" t="s">
        <v>217</v>
      </c>
      <c r="DK22" s="61" t="str">
        <f t="shared" si="28"/>
        <v/>
      </c>
      <c r="DL22" s="61" t="str">
        <f t="shared" si="29"/>
        <v/>
      </c>
      <c r="DM22" s="80" t="s">
        <v>217</v>
      </c>
      <c r="DN22" s="80" t="s">
        <v>217</v>
      </c>
      <c r="DO22" s="80" t="s">
        <v>217</v>
      </c>
      <c r="DT22" s="80" t="s">
        <v>217</v>
      </c>
      <c r="EA22" s="80" t="s">
        <v>217</v>
      </c>
      <c r="ED22" s="80">
        <v>1.0</v>
      </c>
      <c r="EE22" s="80" t="s">
        <v>502</v>
      </c>
      <c r="EF22" s="116"/>
      <c r="EG22" s="80" t="s">
        <v>503</v>
      </c>
    </row>
    <row r="23" ht="1.5" customHeight="1">
      <c r="A23" s="80" t="s">
        <v>505</v>
      </c>
      <c r="B23" s="113" t="s">
        <v>506</v>
      </c>
      <c r="C23" s="80" t="s">
        <v>245</v>
      </c>
      <c r="D23" s="80" t="s">
        <v>507</v>
      </c>
      <c r="E23" s="80" t="s">
        <v>217</v>
      </c>
      <c r="F23" s="80" t="s">
        <v>209</v>
      </c>
      <c r="G23" s="80" t="s">
        <v>211</v>
      </c>
      <c r="H23" s="61" t="str">
        <f t="shared" si="3"/>
        <v/>
      </c>
      <c r="I23" s="61" t="str">
        <f t="shared" si="4"/>
        <v/>
      </c>
      <c r="J23" s="61" t="str">
        <f t="shared" si="5"/>
        <v/>
      </c>
      <c r="K23" s="61" t="str">
        <f t="shared" si="6"/>
        <v/>
      </c>
      <c r="L23" s="61" t="str">
        <f t="shared" si="7"/>
        <v/>
      </c>
      <c r="M23" s="61">
        <f t="shared" si="8"/>
        <v>1</v>
      </c>
      <c r="N23" s="61" t="b">
        <f t="shared" si="9"/>
        <v>1</v>
      </c>
      <c r="O23" s="61" t="b">
        <f t="shared" si="35"/>
        <v>1</v>
      </c>
      <c r="P23" s="80">
        <v>1.0</v>
      </c>
      <c r="Q23" s="80">
        <v>1.0</v>
      </c>
      <c r="R23" s="80">
        <v>1.0</v>
      </c>
      <c r="S23" s="61" t="b">
        <f t="shared" si="11"/>
        <v>1</v>
      </c>
      <c r="T23" s="80">
        <v>1.0</v>
      </c>
      <c r="U23" s="80">
        <v>1.0</v>
      </c>
      <c r="V23" s="80">
        <v>1.0</v>
      </c>
      <c r="X23" s="61" t="str">
        <f t="shared" si="30"/>
        <v/>
      </c>
      <c r="Y23" s="61" t="str">
        <f t="shared" si="12"/>
        <v/>
      </c>
      <c r="Z23" s="114" t="s">
        <v>508</v>
      </c>
      <c r="AA23" s="80" t="s">
        <v>266</v>
      </c>
      <c r="AC23" s="61">
        <f>countif('Charts-SLR'!A:A,AA23)</f>
        <v>1</v>
      </c>
      <c r="AD23" s="80" t="s">
        <v>267</v>
      </c>
      <c r="AE23" s="61">
        <f t="shared" si="13"/>
        <v>0</v>
      </c>
      <c r="AF23" s="80">
        <v>2009.0</v>
      </c>
      <c r="AG23" s="80" t="s">
        <v>250</v>
      </c>
      <c r="AH23" s="80">
        <v>7.0</v>
      </c>
      <c r="AI23" s="108">
        <f t="shared" si="14"/>
        <v>2.333333333</v>
      </c>
      <c r="AJ23" s="61" t="str">
        <f t="shared" si="15"/>
        <v/>
      </c>
      <c r="AK23" s="61">
        <f t="shared" si="16"/>
        <v>7</v>
      </c>
      <c r="AL23" s="61" t="str">
        <f t="shared" si="17"/>
        <v/>
      </c>
      <c r="AM23" s="61" t="str">
        <f t="shared" si="18"/>
        <v/>
      </c>
      <c r="AN23" s="61" t="str">
        <f t="shared" si="19"/>
        <v/>
      </c>
      <c r="AO23" s="61" t="str">
        <f t="shared" si="20"/>
        <v/>
      </c>
      <c r="AP23" s="80" t="s">
        <v>217</v>
      </c>
      <c r="AV23" s="61">
        <f t="shared" si="21"/>
        <v>1</v>
      </c>
      <c r="AX23" s="80" t="s">
        <v>217</v>
      </c>
      <c r="BD23" s="80" t="s">
        <v>217</v>
      </c>
      <c r="BE23" s="80" t="s">
        <v>217</v>
      </c>
      <c r="BG23" s="80" t="s">
        <v>217</v>
      </c>
      <c r="BN23" s="80" t="s">
        <v>217</v>
      </c>
      <c r="BO23" s="218" t="str">
        <f t="shared" si="34"/>
        <v/>
      </c>
      <c r="BP23" s="61">
        <f t="shared" si="33"/>
        <v>2</v>
      </c>
      <c r="BR23" s="80" t="s">
        <v>217</v>
      </c>
      <c r="BS23" s="80" t="s">
        <v>217</v>
      </c>
      <c r="BX23" s="80" t="s">
        <v>217</v>
      </c>
      <c r="CK23" s="80" t="s">
        <v>217</v>
      </c>
      <c r="CM23" s="61">
        <f t="shared" si="22"/>
        <v>1</v>
      </c>
      <c r="CN23" s="80" t="s">
        <v>217</v>
      </c>
      <c r="CO23" s="80" t="s">
        <v>217</v>
      </c>
      <c r="CS23" s="61">
        <f t="shared" si="23"/>
        <v>2</v>
      </c>
      <c r="CU23" s="80" t="s">
        <v>217</v>
      </c>
      <c r="CV23" s="61" t="str">
        <f t="shared" si="24"/>
        <v/>
      </c>
      <c r="CW23" s="61" t="str">
        <f t="shared" si="25"/>
        <v/>
      </c>
      <c r="CX23" s="61" t="str">
        <f t="shared" si="26"/>
        <v>FA</v>
      </c>
      <c r="CZ23" s="80" t="s">
        <v>217</v>
      </c>
      <c r="DC23" s="80" t="s">
        <v>217</v>
      </c>
      <c r="DG23" s="80" t="s">
        <v>217</v>
      </c>
      <c r="DH23" s="61" t="str">
        <f t="shared" si="27"/>
        <v/>
      </c>
      <c r="DI23" s="80" t="s">
        <v>217</v>
      </c>
      <c r="DK23" s="61" t="str">
        <f t="shared" si="28"/>
        <v/>
      </c>
      <c r="DL23" s="61" t="str">
        <f t="shared" si="29"/>
        <v/>
      </c>
      <c r="DM23" s="80" t="s">
        <v>217</v>
      </c>
      <c r="DT23" s="80" t="s">
        <v>217</v>
      </c>
      <c r="ED23" s="80">
        <v>2.0</v>
      </c>
      <c r="EE23" s="80" t="s">
        <v>512</v>
      </c>
      <c r="EF23" s="116"/>
      <c r="EG23" s="80" t="s">
        <v>513</v>
      </c>
      <c r="EI23" s="80" t="s">
        <v>217</v>
      </c>
    </row>
    <row r="24" ht="1.5" customHeight="1">
      <c r="A24" s="80" t="s">
        <v>515</v>
      </c>
      <c r="B24" s="113" t="s">
        <v>516</v>
      </c>
      <c r="C24" s="80" t="s">
        <v>209</v>
      </c>
      <c r="D24" s="80" t="s">
        <v>517</v>
      </c>
      <c r="E24" s="80" t="s">
        <v>217</v>
      </c>
      <c r="F24" s="80" t="s">
        <v>245</v>
      </c>
      <c r="G24" s="80" t="s">
        <v>211</v>
      </c>
      <c r="H24" s="61" t="str">
        <f t="shared" si="3"/>
        <v/>
      </c>
      <c r="I24" s="61">
        <f t="shared" si="4"/>
        <v>1</v>
      </c>
      <c r="J24" s="61" t="str">
        <f t="shared" si="5"/>
        <v/>
      </c>
      <c r="K24" s="61" t="str">
        <f t="shared" si="6"/>
        <v/>
      </c>
      <c r="L24" s="61" t="str">
        <f t="shared" si="7"/>
        <v/>
      </c>
      <c r="M24" s="61" t="str">
        <f t="shared" si="8"/>
        <v/>
      </c>
      <c r="N24" s="61" t="b">
        <f t="shared" si="9"/>
        <v>1</v>
      </c>
      <c r="O24" s="61" t="b">
        <f t="shared" si="35"/>
        <v>1</v>
      </c>
      <c r="P24" s="80">
        <v>1.0</v>
      </c>
      <c r="Q24" s="80">
        <v>1.0</v>
      </c>
      <c r="R24" s="80">
        <v>1.0</v>
      </c>
      <c r="S24" s="61" t="b">
        <f t="shared" si="11"/>
        <v>1</v>
      </c>
      <c r="T24" s="80">
        <v>0.0</v>
      </c>
      <c r="U24" s="80">
        <v>1.0</v>
      </c>
      <c r="V24" s="80">
        <v>1.0</v>
      </c>
      <c r="X24" s="61" t="str">
        <f t="shared" si="30"/>
        <v>Sampath:icsm04, </v>
      </c>
      <c r="Y24" s="61" t="str">
        <f t="shared" si="12"/>
        <v/>
      </c>
      <c r="Z24" s="80" t="s">
        <v>518</v>
      </c>
      <c r="AA24" s="80" t="s">
        <v>266</v>
      </c>
      <c r="AC24" s="61">
        <f>countif('Charts-SLR'!A:A,AA24)</f>
        <v>1</v>
      </c>
      <c r="AD24" s="80" t="s">
        <v>334</v>
      </c>
      <c r="AE24" s="61">
        <f t="shared" si="13"/>
        <v>0</v>
      </c>
      <c r="AF24" s="80">
        <v>2004.0</v>
      </c>
      <c r="AG24" s="80" t="s">
        <v>250</v>
      </c>
      <c r="AH24" s="80">
        <v>24.0</v>
      </c>
      <c r="AI24" s="108">
        <f t="shared" si="14"/>
        <v>3</v>
      </c>
      <c r="AJ24" s="61" t="str">
        <f t="shared" si="15"/>
        <v/>
      </c>
      <c r="AK24" s="61">
        <f t="shared" si="16"/>
        <v>24</v>
      </c>
      <c r="AL24" s="61" t="str">
        <f t="shared" si="17"/>
        <v/>
      </c>
      <c r="AM24" s="61" t="str">
        <f t="shared" si="18"/>
        <v/>
      </c>
      <c r="AN24" s="61" t="str">
        <f t="shared" si="19"/>
        <v/>
      </c>
      <c r="AO24" s="61" t="str">
        <f t="shared" si="20"/>
        <v/>
      </c>
      <c r="AP24" s="80" t="s">
        <v>217</v>
      </c>
      <c r="AQ24" s="80" t="s">
        <v>217</v>
      </c>
      <c r="AR24" s="80" t="s">
        <v>217</v>
      </c>
      <c r="AT24" s="80" t="s">
        <v>217</v>
      </c>
      <c r="AV24" s="61">
        <f t="shared" si="21"/>
        <v>4</v>
      </c>
      <c r="AW24" s="80" t="s">
        <v>217</v>
      </c>
      <c r="BD24" s="80" t="s">
        <v>217</v>
      </c>
      <c r="BG24" s="80" t="s">
        <v>217</v>
      </c>
      <c r="BI24" s="80" t="s">
        <v>217</v>
      </c>
      <c r="BJ24" s="80" t="s">
        <v>217</v>
      </c>
      <c r="BK24" s="80" t="s">
        <v>217</v>
      </c>
      <c r="BN24" s="80" t="s">
        <v>217</v>
      </c>
      <c r="BO24" s="218" t="str">
        <f t="shared" si="34"/>
        <v/>
      </c>
      <c r="BP24" s="61">
        <f t="shared" si="33"/>
        <v>2</v>
      </c>
      <c r="BS24" s="80" t="s">
        <v>217</v>
      </c>
      <c r="BT24" s="80" t="s">
        <v>217</v>
      </c>
      <c r="BX24" s="80" t="s">
        <v>217</v>
      </c>
      <c r="CJ24" s="80" t="s">
        <v>217</v>
      </c>
      <c r="CL24" s="80" t="s">
        <v>217</v>
      </c>
      <c r="CM24" s="61">
        <f t="shared" si="22"/>
        <v>2</v>
      </c>
      <c r="CN24" s="80" t="s">
        <v>217</v>
      </c>
      <c r="CP24" s="80" t="s">
        <v>217</v>
      </c>
      <c r="CS24" s="61">
        <f t="shared" si="23"/>
        <v>2</v>
      </c>
      <c r="CU24" s="80" t="s">
        <v>217</v>
      </c>
      <c r="CV24" s="61" t="str">
        <f t="shared" si="24"/>
        <v/>
      </c>
      <c r="CW24" s="61" t="str">
        <f t="shared" si="25"/>
        <v/>
      </c>
      <c r="CX24" s="61" t="str">
        <f t="shared" si="26"/>
        <v>FA</v>
      </c>
      <c r="CZ24" s="80" t="s">
        <v>217</v>
      </c>
      <c r="DG24" s="80" t="s">
        <v>217</v>
      </c>
      <c r="DH24" s="61" t="str">
        <f t="shared" si="27"/>
        <v/>
      </c>
      <c r="DI24" s="80" t="s">
        <v>217</v>
      </c>
      <c r="DK24" s="61" t="str">
        <f t="shared" si="28"/>
        <v/>
      </c>
      <c r="DL24" s="61" t="str">
        <f t="shared" si="29"/>
        <v/>
      </c>
      <c r="DP24" s="80" t="s">
        <v>217</v>
      </c>
      <c r="DT24" s="80" t="s">
        <v>217</v>
      </c>
      <c r="EB24" s="80" t="s">
        <v>313</v>
      </c>
      <c r="EF24" s="112">
        <v>9748.0</v>
      </c>
      <c r="EG24" s="80" t="s">
        <v>520</v>
      </c>
      <c r="EI24" s="80" t="s">
        <v>217</v>
      </c>
    </row>
    <row r="25" ht="1.5" customHeight="1">
      <c r="A25" s="80" t="s">
        <v>522</v>
      </c>
      <c r="B25" s="113" t="s">
        <v>523</v>
      </c>
      <c r="C25" s="80" t="s">
        <v>209</v>
      </c>
      <c r="D25" s="80" t="s">
        <v>524</v>
      </c>
      <c r="E25" s="80" t="s">
        <v>217</v>
      </c>
      <c r="F25" s="80" t="s">
        <v>245</v>
      </c>
      <c r="G25" s="80" t="s">
        <v>227</v>
      </c>
      <c r="H25" s="61" t="str">
        <f t="shared" si="3"/>
        <v/>
      </c>
      <c r="I25" s="61">
        <f t="shared" si="4"/>
        <v>1</v>
      </c>
      <c r="J25" s="61" t="str">
        <f t="shared" si="5"/>
        <v/>
      </c>
      <c r="K25" s="61" t="str">
        <f t="shared" si="6"/>
        <v/>
      </c>
      <c r="L25" s="61" t="str">
        <f t="shared" si="7"/>
        <v/>
      </c>
      <c r="M25" s="61" t="str">
        <f t="shared" si="8"/>
        <v/>
      </c>
      <c r="N25" s="61" t="b">
        <f t="shared" si="9"/>
        <v>1</v>
      </c>
      <c r="O25" s="61" t="b">
        <f t="shared" si="35"/>
        <v>1</v>
      </c>
      <c r="P25" s="80">
        <v>1.0</v>
      </c>
      <c r="Q25" s="80">
        <v>1.0</v>
      </c>
      <c r="R25" s="80">
        <v>1.0</v>
      </c>
      <c r="S25" s="61" t="b">
        <f t="shared" si="11"/>
        <v>1</v>
      </c>
      <c r="T25" s="80">
        <v>1.0</v>
      </c>
      <c r="U25" s="80">
        <v>1.0</v>
      </c>
      <c r="V25" s="80">
        <v>1.0</v>
      </c>
      <c r="X25" s="61" t="str">
        <f t="shared" si="30"/>
        <v/>
      </c>
      <c r="Y25" s="61" t="str">
        <f t="shared" si="12"/>
        <v/>
      </c>
      <c r="Z25" s="114" t="s">
        <v>525</v>
      </c>
      <c r="AA25" s="80" t="s">
        <v>266</v>
      </c>
      <c r="AC25" s="61">
        <f>countif('Charts-SLR'!A:A,AA25)</f>
        <v>1</v>
      </c>
      <c r="AD25" s="80" t="s">
        <v>526</v>
      </c>
      <c r="AE25" s="61">
        <f t="shared" si="13"/>
        <v>0</v>
      </c>
      <c r="AF25" s="80">
        <v>2002.0</v>
      </c>
      <c r="AG25" s="80" t="s">
        <v>231</v>
      </c>
      <c r="AH25" s="80">
        <v>28.0</v>
      </c>
      <c r="AI25" s="108">
        <f t="shared" si="14"/>
        <v>2.8</v>
      </c>
      <c r="AJ25" s="61">
        <f t="shared" si="15"/>
        <v>28</v>
      </c>
      <c r="AK25" s="61" t="str">
        <f t="shared" si="16"/>
        <v/>
      </c>
      <c r="AL25" s="61" t="str">
        <f t="shared" si="17"/>
        <v/>
      </c>
      <c r="AM25" s="61" t="str">
        <f t="shared" si="18"/>
        <v/>
      </c>
      <c r="AN25" s="61" t="str">
        <f t="shared" si="19"/>
        <v/>
      </c>
      <c r="AO25" s="61" t="str">
        <f t="shared" si="20"/>
        <v/>
      </c>
      <c r="AP25" s="80" t="s">
        <v>217</v>
      </c>
      <c r="AQ25" s="80" t="s">
        <v>217</v>
      </c>
      <c r="AR25" s="80" t="s">
        <v>217</v>
      </c>
      <c r="AV25" s="61">
        <f t="shared" si="21"/>
        <v>3</v>
      </c>
      <c r="AW25" s="80" t="s">
        <v>217</v>
      </c>
      <c r="BD25" s="80" t="s">
        <v>217</v>
      </c>
      <c r="BG25" s="80" t="s">
        <v>217</v>
      </c>
      <c r="BI25" s="80" t="s">
        <v>217</v>
      </c>
      <c r="BJ25" s="80" t="s">
        <v>217</v>
      </c>
      <c r="BK25" s="80" t="s">
        <v>217</v>
      </c>
      <c r="BO25" s="216" t="s">
        <v>217</v>
      </c>
      <c r="BP25" s="61">
        <f t="shared" si="33"/>
        <v>3</v>
      </c>
      <c r="BS25" s="80" t="s">
        <v>217</v>
      </c>
      <c r="BT25" s="80" t="s">
        <v>217</v>
      </c>
      <c r="CE25" s="80" t="s">
        <v>217</v>
      </c>
      <c r="CJ25" s="80" t="s">
        <v>217</v>
      </c>
      <c r="CM25" s="61">
        <f t="shared" si="22"/>
        <v>2</v>
      </c>
      <c r="CN25" s="80" t="s">
        <v>217</v>
      </c>
      <c r="CP25" s="80" t="s">
        <v>217</v>
      </c>
      <c r="CQ25" s="80" t="s">
        <v>217</v>
      </c>
      <c r="CS25" s="61">
        <f t="shared" si="23"/>
        <v>3</v>
      </c>
      <c r="CU25" s="80" t="s">
        <v>217</v>
      </c>
      <c r="CV25" s="61" t="str">
        <f t="shared" si="24"/>
        <v/>
      </c>
      <c r="CW25" s="61" t="str">
        <f t="shared" si="25"/>
        <v/>
      </c>
      <c r="CX25" s="61" t="str">
        <f t="shared" si="26"/>
        <v>FA</v>
      </c>
      <c r="DG25" s="80" t="s">
        <v>217</v>
      </c>
      <c r="DH25" s="61" t="str">
        <f t="shared" si="27"/>
        <v/>
      </c>
      <c r="DI25" s="80" t="s">
        <v>217</v>
      </c>
      <c r="DK25" s="61" t="str">
        <f t="shared" si="28"/>
        <v/>
      </c>
      <c r="DL25" s="61" t="str">
        <f t="shared" si="29"/>
        <v/>
      </c>
      <c r="DM25" s="80" t="s">
        <v>217</v>
      </c>
      <c r="DO25" s="80" t="s">
        <v>217</v>
      </c>
      <c r="DT25" s="80" t="s">
        <v>217</v>
      </c>
      <c r="DU25" s="80" t="s">
        <v>1100</v>
      </c>
      <c r="EA25" s="80" t="s">
        <v>1382</v>
      </c>
      <c r="EF25" s="116"/>
    </row>
    <row r="26" ht="1.5" customHeight="1">
      <c r="A26" s="80" t="s">
        <v>530</v>
      </c>
      <c r="B26" s="113" t="s">
        <v>531</v>
      </c>
      <c r="C26" s="80" t="s">
        <v>209</v>
      </c>
      <c r="D26" s="80" t="s">
        <v>532</v>
      </c>
      <c r="E26" s="80" t="s">
        <v>217</v>
      </c>
      <c r="F26" s="80" t="s">
        <v>245</v>
      </c>
      <c r="G26" s="80" t="s">
        <v>227</v>
      </c>
      <c r="H26" s="61" t="str">
        <f t="shared" si="3"/>
        <v/>
      </c>
      <c r="I26" s="61">
        <f t="shared" si="4"/>
        <v>1</v>
      </c>
      <c r="J26" s="61" t="str">
        <f t="shared" si="5"/>
        <v/>
      </c>
      <c r="K26" s="61" t="str">
        <f t="shared" si="6"/>
        <v/>
      </c>
      <c r="L26" s="61" t="str">
        <f t="shared" si="7"/>
        <v/>
      </c>
      <c r="M26" s="61" t="str">
        <f t="shared" si="8"/>
        <v/>
      </c>
      <c r="N26" s="61" t="b">
        <f t="shared" si="9"/>
        <v>1</v>
      </c>
      <c r="O26" s="61" t="b">
        <f t="shared" si="35"/>
        <v>1</v>
      </c>
      <c r="P26" s="80">
        <v>1.0</v>
      </c>
      <c r="Q26" s="80">
        <v>1.0</v>
      </c>
      <c r="R26" s="80">
        <v>1.0</v>
      </c>
      <c r="S26" s="61" t="b">
        <f t="shared" si="11"/>
        <v>1</v>
      </c>
      <c r="T26" s="80">
        <v>0.0</v>
      </c>
      <c r="U26" s="80">
        <v>1.0</v>
      </c>
      <c r="V26" s="80">
        <v>1.0</v>
      </c>
      <c r="W26" s="80" t="s">
        <v>533</v>
      </c>
      <c r="X26" s="61" t="str">
        <f t="shared" si="30"/>
        <v/>
      </c>
      <c r="Y26" s="61" t="str">
        <f t="shared" si="12"/>
        <v/>
      </c>
      <c r="Z26" s="114" t="s">
        <v>348</v>
      </c>
      <c r="AA26" s="80" t="s">
        <v>214</v>
      </c>
      <c r="AC26" s="61">
        <f>countif('Charts-SLR'!A:A,AA26)</f>
        <v>1</v>
      </c>
      <c r="AD26" s="80" t="s">
        <v>534</v>
      </c>
      <c r="AE26" s="61">
        <f t="shared" si="13"/>
        <v>0</v>
      </c>
      <c r="AF26" s="80">
        <v>2002.0</v>
      </c>
      <c r="AG26" s="80" t="s">
        <v>216</v>
      </c>
      <c r="AH26" s="80">
        <v>24.0</v>
      </c>
      <c r="AI26" s="108">
        <f t="shared" si="14"/>
        <v>2.4</v>
      </c>
      <c r="AJ26" s="61" t="str">
        <f t="shared" si="15"/>
        <v/>
      </c>
      <c r="AK26" s="61" t="str">
        <f t="shared" si="16"/>
        <v/>
      </c>
      <c r="AL26" s="61">
        <f t="shared" si="17"/>
        <v>24</v>
      </c>
      <c r="AM26" s="61" t="str">
        <f t="shared" si="18"/>
        <v/>
      </c>
      <c r="AN26" s="61" t="str">
        <f t="shared" si="19"/>
        <v/>
      </c>
      <c r="AO26" s="61" t="str">
        <f t="shared" si="20"/>
        <v/>
      </c>
      <c r="AP26" s="80" t="s">
        <v>217</v>
      </c>
      <c r="AV26" s="61">
        <f t="shared" si="21"/>
        <v>1</v>
      </c>
      <c r="AW26" s="80" t="s">
        <v>217</v>
      </c>
      <c r="BE26" s="80" t="s">
        <v>217</v>
      </c>
      <c r="BF26" s="80" t="s">
        <v>217</v>
      </c>
      <c r="BL26" s="80" t="s">
        <v>217</v>
      </c>
      <c r="BO26" s="216" t="s">
        <v>217</v>
      </c>
      <c r="BP26" s="61">
        <f t="shared" si="33"/>
        <v>3</v>
      </c>
      <c r="BT26" s="80" t="s">
        <v>217</v>
      </c>
      <c r="CD26" s="80" t="s">
        <v>217</v>
      </c>
      <c r="CM26" s="61">
        <f t="shared" si="22"/>
        <v>1</v>
      </c>
      <c r="CR26" s="80" t="s">
        <v>217</v>
      </c>
      <c r="CS26" s="61">
        <f t="shared" si="23"/>
        <v>1</v>
      </c>
      <c r="CU26" s="80" t="s">
        <v>217</v>
      </c>
      <c r="CV26" s="61" t="str">
        <f t="shared" si="24"/>
        <v/>
      </c>
      <c r="CW26" s="61" t="str">
        <f t="shared" si="25"/>
        <v/>
      </c>
      <c r="CX26" s="61" t="str">
        <f t="shared" si="26"/>
        <v>FA</v>
      </c>
      <c r="DA26" s="80" t="s">
        <v>217</v>
      </c>
      <c r="DG26" s="80" t="s">
        <v>217</v>
      </c>
      <c r="DH26" s="61" t="str">
        <f t="shared" si="27"/>
        <v/>
      </c>
      <c r="DI26" s="80" t="s">
        <v>217</v>
      </c>
      <c r="DK26" s="61" t="str">
        <f t="shared" si="28"/>
        <v/>
      </c>
      <c r="DL26" s="61" t="str">
        <f t="shared" si="29"/>
        <v/>
      </c>
      <c r="DO26" s="80" t="s">
        <v>217</v>
      </c>
      <c r="DS26" s="80" t="s">
        <v>217</v>
      </c>
      <c r="ED26" s="80">
        <v>1.0</v>
      </c>
      <c r="EE26" s="80" t="s">
        <v>536</v>
      </c>
      <c r="EF26" s="112">
        <v>257.0</v>
      </c>
      <c r="EG26" s="219">
        <v>5.0</v>
      </c>
      <c r="EH26" s="80" t="s">
        <v>217</v>
      </c>
      <c r="EK26" s="80" t="s">
        <v>217</v>
      </c>
    </row>
    <row r="27" ht="1.5" customHeight="1">
      <c r="A27" s="80" t="s">
        <v>1383</v>
      </c>
      <c r="B27" s="113" t="s">
        <v>1384</v>
      </c>
      <c r="C27" s="80" t="s">
        <v>209</v>
      </c>
      <c r="D27" s="80" t="s">
        <v>1385</v>
      </c>
      <c r="E27" s="80" t="s">
        <v>217</v>
      </c>
      <c r="F27" s="80" t="s">
        <v>245</v>
      </c>
      <c r="G27" s="80" t="s">
        <v>227</v>
      </c>
      <c r="H27" s="61" t="str">
        <f t="shared" si="3"/>
        <v/>
      </c>
      <c r="I27" s="61">
        <f t="shared" si="4"/>
        <v>1</v>
      </c>
      <c r="J27" s="61" t="str">
        <f t="shared" si="5"/>
        <v/>
      </c>
      <c r="K27" s="61" t="str">
        <f t="shared" si="6"/>
        <v/>
      </c>
      <c r="L27" s="61" t="str">
        <f t="shared" si="7"/>
        <v/>
      </c>
      <c r="M27" s="61" t="str">
        <f t="shared" si="8"/>
        <v/>
      </c>
      <c r="N27" s="61" t="b">
        <f t="shared" si="9"/>
        <v>1</v>
      </c>
      <c r="O27" s="61" t="b">
        <f t="shared" si="35"/>
        <v>1</v>
      </c>
      <c r="P27" s="80">
        <v>1.0</v>
      </c>
      <c r="Q27" s="80">
        <v>1.0</v>
      </c>
      <c r="R27" s="80">
        <v>1.0</v>
      </c>
      <c r="S27" s="61" t="b">
        <f t="shared" si="11"/>
        <v>1</v>
      </c>
      <c r="T27" s="80">
        <v>1.0</v>
      </c>
      <c r="U27" s="80">
        <v>1.0</v>
      </c>
      <c r="V27" s="80">
        <v>1.0</v>
      </c>
      <c r="X27" s="61" t="str">
        <f t="shared" si="30"/>
        <v/>
      </c>
      <c r="Y27" s="61" t="str">
        <f t="shared" si="12"/>
        <v/>
      </c>
      <c r="Z27" s="114" t="s">
        <v>1386</v>
      </c>
      <c r="AA27" s="80" t="s">
        <v>464</v>
      </c>
      <c r="AC27" s="61">
        <f>countif('Charts-SLR'!A:A,AA27)</f>
        <v>1</v>
      </c>
      <c r="AD27" s="80" t="s">
        <v>1387</v>
      </c>
      <c r="AE27" s="61">
        <f t="shared" si="13"/>
        <v>0</v>
      </c>
      <c r="AF27" s="80">
        <v>2009.0</v>
      </c>
      <c r="AG27" s="80" t="s">
        <v>231</v>
      </c>
      <c r="AH27" s="80">
        <v>9.0</v>
      </c>
      <c r="AI27" s="108">
        <f t="shared" si="14"/>
        <v>3</v>
      </c>
      <c r="AJ27" s="61">
        <f t="shared" si="15"/>
        <v>9</v>
      </c>
      <c r="AK27" s="61" t="str">
        <f t="shared" si="16"/>
        <v/>
      </c>
      <c r="AL27" s="61" t="str">
        <f t="shared" si="17"/>
        <v/>
      </c>
      <c r="AM27" s="61" t="str">
        <f t="shared" si="18"/>
        <v/>
      </c>
      <c r="AN27" s="61" t="str">
        <f t="shared" si="19"/>
        <v/>
      </c>
      <c r="AO27" s="61" t="str">
        <f t="shared" si="20"/>
        <v/>
      </c>
      <c r="AR27" s="80" t="s">
        <v>217</v>
      </c>
      <c r="AV27" s="61">
        <f t="shared" si="21"/>
        <v>1</v>
      </c>
      <c r="AX27" s="80" t="s">
        <v>217</v>
      </c>
      <c r="BD27" s="80" t="s">
        <v>217</v>
      </c>
      <c r="BG27" s="80" t="s">
        <v>217</v>
      </c>
      <c r="BM27" s="80" t="s">
        <v>217</v>
      </c>
      <c r="BO27" s="218" t="str">
        <f>if(and(BM27="x",BN27="x"), "x", "")</f>
        <v/>
      </c>
      <c r="BP27" s="61">
        <f t="shared" si="33"/>
        <v>1</v>
      </c>
      <c r="BQ27" s="80" t="s">
        <v>217</v>
      </c>
      <c r="CL27" s="80" t="s">
        <v>217</v>
      </c>
      <c r="CM27" s="61">
        <f t="shared" si="22"/>
        <v>1</v>
      </c>
      <c r="CN27" s="80" t="s">
        <v>217</v>
      </c>
      <c r="CS27" s="61">
        <f t="shared" si="23"/>
        <v>1</v>
      </c>
      <c r="CT27" s="80" t="s">
        <v>217</v>
      </c>
      <c r="CV27" s="61" t="str">
        <f t="shared" si="24"/>
        <v/>
      </c>
      <c r="CW27" s="61" t="str">
        <f t="shared" si="25"/>
        <v>FM</v>
      </c>
      <c r="CX27" s="61" t="str">
        <f t="shared" si="26"/>
        <v/>
      </c>
      <c r="DG27" s="80" t="s">
        <v>217</v>
      </c>
      <c r="DH27" s="61" t="str">
        <f t="shared" si="27"/>
        <v/>
      </c>
      <c r="DI27" s="80" t="s">
        <v>217</v>
      </c>
      <c r="DK27" s="61" t="str">
        <f t="shared" si="28"/>
        <v/>
      </c>
      <c r="DL27" s="61" t="str">
        <f t="shared" si="29"/>
        <v/>
      </c>
      <c r="DM27" s="80" t="s">
        <v>217</v>
      </c>
      <c r="DO27" s="80" t="s">
        <v>217</v>
      </c>
      <c r="DR27" s="80" t="s">
        <v>217</v>
      </c>
      <c r="EF27" s="116"/>
    </row>
    <row r="28" ht="1.5" customHeight="1">
      <c r="A28" s="80" t="s">
        <v>1388</v>
      </c>
      <c r="B28" s="113" t="s">
        <v>1389</v>
      </c>
      <c r="C28" s="80" t="s">
        <v>210</v>
      </c>
      <c r="D28" s="80" t="s">
        <v>1390</v>
      </c>
      <c r="E28" s="80" t="s">
        <v>217</v>
      </c>
      <c r="F28" s="80" t="s">
        <v>209</v>
      </c>
      <c r="G28" s="80" t="s">
        <v>211</v>
      </c>
      <c r="H28" s="61" t="str">
        <f t="shared" si="3"/>
        <v/>
      </c>
      <c r="I28" s="61" t="str">
        <f t="shared" si="4"/>
        <v/>
      </c>
      <c r="J28" s="61">
        <f t="shared" si="5"/>
        <v>1</v>
      </c>
      <c r="K28" s="61" t="str">
        <f t="shared" si="6"/>
        <v/>
      </c>
      <c r="L28" s="61" t="str">
        <f t="shared" si="7"/>
        <v/>
      </c>
      <c r="M28" s="61" t="str">
        <f t="shared" si="8"/>
        <v/>
      </c>
      <c r="N28" s="61" t="b">
        <f t="shared" si="9"/>
        <v>1</v>
      </c>
      <c r="O28" s="61" t="b">
        <f t="shared" si="35"/>
        <v>1</v>
      </c>
      <c r="P28" s="80">
        <v>1.0</v>
      </c>
      <c r="Q28" s="80">
        <v>1.0</v>
      </c>
      <c r="R28" s="80">
        <v>1.0</v>
      </c>
      <c r="S28" s="61" t="b">
        <f t="shared" si="11"/>
        <v>1</v>
      </c>
      <c r="T28" s="80">
        <v>1.0</v>
      </c>
      <c r="U28" s="80">
        <v>1.0</v>
      </c>
      <c r="V28" s="80">
        <v>1.0</v>
      </c>
      <c r="W28" s="80" t="s">
        <v>1391</v>
      </c>
      <c r="X28" s="61" t="str">
        <f t="shared" si="30"/>
        <v/>
      </c>
      <c r="Y28" s="61" t="str">
        <f t="shared" si="12"/>
        <v/>
      </c>
      <c r="Z28" s="114" t="s">
        <v>1392</v>
      </c>
      <c r="AA28" s="80" t="s">
        <v>555</v>
      </c>
      <c r="AB28" s="80" t="s">
        <v>217</v>
      </c>
      <c r="AC28" s="80">
        <v>1.0</v>
      </c>
      <c r="AD28" s="80" t="s">
        <v>475</v>
      </c>
      <c r="AE28" s="61">
        <f t="shared" si="13"/>
        <v>0</v>
      </c>
      <c r="AF28" s="80">
        <v>2011.0</v>
      </c>
      <c r="AG28" s="80" t="s">
        <v>231</v>
      </c>
      <c r="AH28" s="80">
        <v>1.0</v>
      </c>
      <c r="AI28" s="108">
        <f t="shared" si="14"/>
        <v>1</v>
      </c>
      <c r="AJ28" s="61">
        <f t="shared" si="15"/>
        <v>1</v>
      </c>
      <c r="AK28" s="61" t="str">
        <f t="shared" si="16"/>
        <v/>
      </c>
      <c r="AL28" s="61" t="str">
        <f t="shared" si="17"/>
        <v/>
      </c>
      <c r="AM28" s="61" t="str">
        <f t="shared" si="18"/>
        <v/>
      </c>
      <c r="AN28" s="61" t="str">
        <f t="shared" si="19"/>
        <v/>
      </c>
      <c r="AO28" s="61" t="str">
        <f t="shared" si="20"/>
        <v/>
      </c>
      <c r="AS28" s="80" t="s">
        <v>217</v>
      </c>
      <c r="AV28" s="61">
        <f t="shared" si="21"/>
        <v>1</v>
      </c>
      <c r="AX28" s="80" t="s">
        <v>217</v>
      </c>
      <c r="BD28" s="80" t="s">
        <v>217</v>
      </c>
      <c r="BG28" s="80" t="s">
        <v>217</v>
      </c>
      <c r="BI28" s="80" t="s">
        <v>217</v>
      </c>
      <c r="BJ28" s="80" t="s">
        <v>217</v>
      </c>
      <c r="BO28" s="216" t="s">
        <v>217</v>
      </c>
      <c r="BP28" s="61">
        <f t="shared" si="33"/>
        <v>3</v>
      </c>
      <c r="BQ28" s="80" t="s">
        <v>217</v>
      </c>
      <c r="BS28" s="80" t="s">
        <v>217</v>
      </c>
      <c r="BT28" s="80" t="s">
        <v>217</v>
      </c>
      <c r="CF28" s="80" t="s">
        <v>217</v>
      </c>
      <c r="CM28" s="61">
        <f t="shared" si="22"/>
        <v>1</v>
      </c>
      <c r="CN28" s="80" t="s">
        <v>217</v>
      </c>
      <c r="CS28" s="61">
        <f t="shared" si="23"/>
        <v>1</v>
      </c>
      <c r="CU28" s="80" t="s">
        <v>217</v>
      </c>
      <c r="CV28" s="61" t="str">
        <f t="shared" si="24"/>
        <v/>
      </c>
      <c r="CW28" s="61" t="str">
        <f t="shared" si="25"/>
        <v/>
      </c>
      <c r="CX28" s="61" t="str">
        <f t="shared" si="26"/>
        <v>FA</v>
      </c>
      <c r="DA28" s="80" t="s">
        <v>217</v>
      </c>
      <c r="DG28" s="80" t="s">
        <v>217</v>
      </c>
      <c r="DH28" s="61" t="str">
        <f t="shared" si="27"/>
        <v/>
      </c>
      <c r="DI28" s="80" t="s">
        <v>217</v>
      </c>
      <c r="DK28" s="61" t="str">
        <f t="shared" si="28"/>
        <v/>
      </c>
      <c r="DL28" s="61" t="str">
        <f t="shared" si="29"/>
        <v/>
      </c>
      <c r="DM28" s="80" t="s">
        <v>217</v>
      </c>
      <c r="DO28" s="80" t="s">
        <v>217</v>
      </c>
      <c r="DS28" s="80" t="s">
        <v>217</v>
      </c>
      <c r="ED28" s="80">
        <v>19.0</v>
      </c>
      <c r="EE28" s="80" t="s">
        <v>1393</v>
      </c>
      <c r="EF28" s="116"/>
      <c r="EG28" s="80" t="s">
        <v>1394</v>
      </c>
      <c r="EI28" s="80" t="s">
        <v>217</v>
      </c>
      <c r="EJ28" s="80" t="s">
        <v>217</v>
      </c>
    </row>
    <row r="29" ht="1.5" customHeight="1">
      <c r="A29" s="80" t="s">
        <v>579</v>
      </c>
      <c r="B29" s="113" t="s">
        <v>580</v>
      </c>
      <c r="C29" s="80" t="s">
        <v>210</v>
      </c>
      <c r="D29" s="80" t="s">
        <v>581</v>
      </c>
      <c r="E29" s="80" t="s">
        <v>217</v>
      </c>
      <c r="F29" s="80" t="s">
        <v>209</v>
      </c>
      <c r="G29" s="80" t="s">
        <v>211</v>
      </c>
      <c r="H29" s="61" t="str">
        <f t="shared" si="3"/>
        <v/>
      </c>
      <c r="I29" s="61" t="str">
        <f t="shared" si="4"/>
        <v/>
      </c>
      <c r="J29" s="61">
        <f t="shared" si="5"/>
        <v>1</v>
      </c>
      <c r="K29" s="61" t="str">
        <f t="shared" si="6"/>
        <v/>
      </c>
      <c r="L29" s="61" t="str">
        <f t="shared" si="7"/>
        <v/>
      </c>
      <c r="M29" s="61" t="str">
        <f t="shared" si="8"/>
        <v/>
      </c>
      <c r="N29" s="61" t="b">
        <f t="shared" si="9"/>
        <v>1</v>
      </c>
      <c r="O29" s="61" t="b">
        <f t="shared" si="35"/>
        <v>1</v>
      </c>
      <c r="P29" s="80">
        <v>1.0</v>
      </c>
      <c r="Q29" s="80">
        <v>1.0</v>
      </c>
      <c r="R29" s="80">
        <v>1.0</v>
      </c>
      <c r="S29" s="61" t="b">
        <f t="shared" si="11"/>
        <v>1</v>
      </c>
      <c r="T29" s="80">
        <v>0.0</v>
      </c>
      <c r="U29" s="80">
        <v>1.0</v>
      </c>
      <c r="V29" s="80">
        <v>1.0</v>
      </c>
      <c r="X29" s="61" t="str">
        <f t="shared" si="30"/>
        <v/>
      </c>
      <c r="Y29" s="61" t="str">
        <f t="shared" si="12"/>
        <v/>
      </c>
      <c r="Z29" s="114" t="s">
        <v>582</v>
      </c>
      <c r="AA29" s="80" t="s">
        <v>583</v>
      </c>
      <c r="AC29" s="61">
        <f>countif('Charts-SLR'!A:A,AA29)</f>
        <v>1</v>
      </c>
      <c r="AD29" s="80" t="s">
        <v>312</v>
      </c>
      <c r="AE29" s="61">
        <f t="shared" si="13"/>
        <v>0</v>
      </c>
      <c r="AF29" s="80">
        <v>2006.0</v>
      </c>
      <c r="AG29" s="80" t="s">
        <v>231</v>
      </c>
      <c r="AH29" s="80">
        <v>7.0</v>
      </c>
      <c r="AI29" s="108">
        <f t="shared" si="14"/>
        <v>1.166666667</v>
      </c>
      <c r="AJ29" s="61">
        <f t="shared" si="15"/>
        <v>7</v>
      </c>
      <c r="AK29" s="61" t="str">
        <f t="shared" si="16"/>
        <v/>
      </c>
      <c r="AL29" s="61" t="str">
        <f t="shared" si="17"/>
        <v/>
      </c>
      <c r="AM29" s="61" t="str">
        <f t="shared" si="18"/>
        <v/>
      </c>
      <c r="AN29" s="61" t="str">
        <f t="shared" si="19"/>
        <v/>
      </c>
      <c r="AO29" s="61" t="str">
        <f t="shared" si="20"/>
        <v/>
      </c>
      <c r="AP29" s="80" t="s">
        <v>217</v>
      </c>
      <c r="AR29" s="80" t="s">
        <v>217</v>
      </c>
      <c r="AV29" s="61">
        <f t="shared" si="21"/>
        <v>2</v>
      </c>
      <c r="AW29" s="80" t="s">
        <v>217</v>
      </c>
      <c r="BD29" s="80" t="s">
        <v>217</v>
      </c>
      <c r="BG29" s="80" t="s">
        <v>217</v>
      </c>
      <c r="BN29" s="80" t="s">
        <v>217</v>
      </c>
      <c r="BO29" s="218" t="str">
        <f t="shared" ref="BO29:BO32" si="36">if(and(BM29="x",BN29="x"), "x", "")</f>
        <v/>
      </c>
      <c r="BP29" s="61">
        <f t="shared" si="33"/>
        <v>2</v>
      </c>
      <c r="BQ29" s="80" t="s">
        <v>217</v>
      </c>
      <c r="BR29" s="80" t="s">
        <v>217</v>
      </c>
      <c r="BT29" s="80" t="s">
        <v>217</v>
      </c>
      <c r="CD29" s="80" t="s">
        <v>217</v>
      </c>
      <c r="CM29" s="61">
        <f t="shared" si="22"/>
        <v>1</v>
      </c>
      <c r="CO29" s="80" t="s">
        <v>217</v>
      </c>
      <c r="CS29" s="61">
        <f t="shared" si="23"/>
        <v>1</v>
      </c>
      <c r="CT29" s="80" t="s">
        <v>217</v>
      </c>
      <c r="CV29" s="61" t="str">
        <f t="shared" si="24"/>
        <v/>
      </c>
      <c r="CW29" s="61" t="str">
        <f t="shared" si="25"/>
        <v>FM</v>
      </c>
      <c r="CX29" s="61" t="str">
        <f t="shared" si="26"/>
        <v/>
      </c>
      <c r="DD29" s="80" t="s">
        <v>217</v>
      </c>
      <c r="DG29" s="80" t="s">
        <v>217</v>
      </c>
      <c r="DH29" s="61" t="str">
        <f t="shared" si="27"/>
        <v/>
      </c>
      <c r="DI29" s="80" t="s">
        <v>217</v>
      </c>
      <c r="DK29" s="61" t="str">
        <f t="shared" si="28"/>
        <v/>
      </c>
      <c r="DL29" s="61" t="str">
        <f t="shared" si="29"/>
        <v/>
      </c>
      <c r="DM29" s="80" t="s">
        <v>217</v>
      </c>
      <c r="DT29" s="80" t="s">
        <v>217</v>
      </c>
      <c r="EF29" s="116"/>
      <c r="EH29" s="80" t="s">
        <v>217</v>
      </c>
    </row>
    <row r="30" ht="15.75" customHeight="1">
      <c r="A30" s="80" t="s">
        <v>586</v>
      </c>
      <c r="B30" s="113" t="s">
        <v>587</v>
      </c>
      <c r="C30" s="80" t="s">
        <v>209</v>
      </c>
      <c r="D30" s="80" t="s">
        <v>588</v>
      </c>
      <c r="E30" s="80" t="s">
        <v>217</v>
      </c>
      <c r="F30" s="80" t="s">
        <v>245</v>
      </c>
      <c r="G30" s="80" t="s">
        <v>227</v>
      </c>
      <c r="H30" s="61" t="str">
        <f t="shared" si="3"/>
        <v/>
      </c>
      <c r="I30" s="61">
        <f t="shared" si="4"/>
        <v>1</v>
      </c>
      <c r="J30" s="61" t="str">
        <f t="shared" si="5"/>
        <v/>
      </c>
      <c r="K30" s="61" t="str">
        <f t="shared" si="6"/>
        <v/>
      </c>
      <c r="L30" s="61" t="str">
        <f t="shared" si="7"/>
        <v/>
      </c>
      <c r="M30" s="61" t="str">
        <f t="shared" si="8"/>
        <v/>
      </c>
      <c r="N30" s="61" t="b">
        <f t="shared" si="9"/>
        <v>1</v>
      </c>
      <c r="O30" s="61" t="b">
        <f t="shared" si="35"/>
        <v>1</v>
      </c>
      <c r="P30" s="80">
        <v>1.0</v>
      </c>
      <c r="Q30" s="80">
        <v>1.0</v>
      </c>
      <c r="R30" s="80">
        <v>1.0</v>
      </c>
      <c r="S30" s="61" t="b">
        <f t="shared" si="11"/>
        <v>1</v>
      </c>
      <c r="T30" s="80">
        <v>0.0</v>
      </c>
      <c r="U30" s="80">
        <v>1.0</v>
      </c>
      <c r="V30" s="80">
        <v>1.0</v>
      </c>
      <c r="W30" s="115" t="s">
        <v>589</v>
      </c>
      <c r="X30" s="61" t="str">
        <f t="shared" si="30"/>
        <v/>
      </c>
      <c r="Y30" s="61" t="str">
        <f t="shared" si="12"/>
        <v>Sciascio:icwe05, </v>
      </c>
      <c r="Z30" s="80" t="s">
        <v>590</v>
      </c>
      <c r="AA30" s="80" t="s">
        <v>214</v>
      </c>
      <c r="AC30" s="61">
        <f>countif('Charts-SLR'!A:A,AA30)</f>
        <v>1</v>
      </c>
      <c r="AD30" s="80" t="s">
        <v>591</v>
      </c>
      <c r="AE30" s="61">
        <f t="shared" si="13"/>
        <v>0</v>
      </c>
      <c r="AF30" s="80">
        <v>2005.0</v>
      </c>
      <c r="AG30" s="80" t="s">
        <v>250</v>
      </c>
      <c r="AH30" s="80">
        <v>13.0</v>
      </c>
      <c r="AI30" s="108">
        <f t="shared" si="14"/>
        <v>1.857142857</v>
      </c>
      <c r="AJ30" s="61" t="str">
        <f t="shared" si="15"/>
        <v/>
      </c>
      <c r="AK30" s="61">
        <f t="shared" si="16"/>
        <v>13</v>
      </c>
      <c r="AL30" s="61" t="str">
        <f t="shared" si="17"/>
        <v/>
      </c>
      <c r="AM30" s="61" t="str">
        <f t="shared" si="18"/>
        <v/>
      </c>
      <c r="AN30" s="61" t="str">
        <f t="shared" si="19"/>
        <v/>
      </c>
      <c r="AO30" s="61" t="str">
        <f t="shared" si="20"/>
        <v/>
      </c>
      <c r="AP30" s="80" t="s">
        <v>217</v>
      </c>
      <c r="AR30" s="80" t="s">
        <v>217</v>
      </c>
      <c r="AV30" s="61">
        <f t="shared" si="21"/>
        <v>2</v>
      </c>
      <c r="AW30" s="80" t="s">
        <v>217</v>
      </c>
      <c r="BE30" s="80" t="s">
        <v>217</v>
      </c>
      <c r="BM30" s="80" t="s">
        <v>217</v>
      </c>
      <c r="BO30" s="218" t="str">
        <f t="shared" si="36"/>
        <v/>
      </c>
      <c r="BP30" s="61">
        <f t="shared" si="33"/>
        <v>1</v>
      </c>
      <c r="BR30" s="80" t="s">
        <v>217</v>
      </c>
      <c r="BS30" s="80" t="s">
        <v>217</v>
      </c>
      <c r="BU30" s="80" t="s">
        <v>217</v>
      </c>
      <c r="BV30" s="80" t="s">
        <v>217</v>
      </c>
      <c r="CH30" s="80" t="s">
        <v>217</v>
      </c>
      <c r="CM30" s="61">
        <f t="shared" si="22"/>
        <v>1</v>
      </c>
      <c r="CR30" s="80" t="s">
        <v>217</v>
      </c>
      <c r="CS30" s="61">
        <f t="shared" si="23"/>
        <v>1</v>
      </c>
      <c r="CU30" s="80" t="s">
        <v>217</v>
      </c>
      <c r="CV30" s="61" t="str">
        <f t="shared" si="24"/>
        <v/>
      </c>
      <c r="CW30" s="61" t="str">
        <f t="shared" si="25"/>
        <v/>
      </c>
      <c r="CX30" s="61" t="str">
        <f t="shared" si="26"/>
        <v>FA</v>
      </c>
      <c r="DD30" s="80" t="s">
        <v>217</v>
      </c>
      <c r="DG30" s="80" t="s">
        <v>217</v>
      </c>
      <c r="DH30" s="61" t="str">
        <f t="shared" si="27"/>
        <v/>
      </c>
      <c r="DI30" s="80" t="s">
        <v>217</v>
      </c>
      <c r="DK30" s="61" t="str">
        <f t="shared" si="28"/>
        <v/>
      </c>
      <c r="DL30" s="61" t="str">
        <f t="shared" si="29"/>
        <v/>
      </c>
      <c r="DP30" s="80" t="s">
        <v>217</v>
      </c>
      <c r="DY30" s="80" t="s">
        <v>217</v>
      </c>
      <c r="EF30" s="116"/>
      <c r="EH30" s="80" t="s">
        <v>217</v>
      </c>
    </row>
    <row r="31" ht="14.25" customHeight="1">
      <c r="A31" s="80" t="s">
        <v>594</v>
      </c>
      <c r="B31" s="113" t="s">
        <v>595</v>
      </c>
      <c r="C31" s="80" t="s">
        <v>245</v>
      </c>
      <c r="D31" s="80" t="s">
        <v>596</v>
      </c>
      <c r="E31" s="80" t="s">
        <v>217</v>
      </c>
      <c r="F31" s="80" t="s">
        <v>209</v>
      </c>
      <c r="G31" s="80" t="s">
        <v>211</v>
      </c>
      <c r="H31" s="61" t="str">
        <f t="shared" si="3"/>
        <v/>
      </c>
      <c r="I31" s="61" t="str">
        <f t="shared" si="4"/>
        <v/>
      </c>
      <c r="J31" s="61" t="str">
        <f t="shared" si="5"/>
        <v/>
      </c>
      <c r="K31" s="61" t="str">
        <f t="shared" si="6"/>
        <v/>
      </c>
      <c r="L31" s="61" t="str">
        <f t="shared" si="7"/>
        <v/>
      </c>
      <c r="M31" s="61">
        <f t="shared" si="8"/>
        <v>1</v>
      </c>
      <c r="N31" s="61" t="b">
        <f t="shared" si="9"/>
        <v>1</v>
      </c>
      <c r="O31" s="61" t="b">
        <f t="shared" si="35"/>
        <v>1</v>
      </c>
      <c r="P31" s="80">
        <v>1.0</v>
      </c>
      <c r="Q31" s="80">
        <v>1.0</v>
      </c>
      <c r="R31" s="80">
        <v>1.0</v>
      </c>
      <c r="S31" s="61" t="b">
        <f t="shared" si="11"/>
        <v>1</v>
      </c>
      <c r="T31" s="80">
        <v>1.0</v>
      </c>
      <c r="U31" s="80">
        <v>1.0</v>
      </c>
      <c r="V31" s="80">
        <v>1.0</v>
      </c>
      <c r="X31" s="61" t="str">
        <f t="shared" si="30"/>
        <v/>
      </c>
      <c r="Y31" s="61" t="str">
        <f t="shared" si="12"/>
        <v/>
      </c>
      <c r="Z31" s="80" t="s">
        <v>597</v>
      </c>
      <c r="AA31" s="80" t="s">
        <v>598</v>
      </c>
      <c r="AC31" s="61">
        <f>countif('Charts-SLR'!A:A,AA31)</f>
        <v>1</v>
      </c>
      <c r="AD31" s="80" t="s">
        <v>599</v>
      </c>
      <c r="AE31" s="61">
        <f t="shared" si="13"/>
        <v>0</v>
      </c>
      <c r="AF31" s="80">
        <v>2011.0</v>
      </c>
      <c r="AG31" s="80" t="s">
        <v>250</v>
      </c>
      <c r="AH31" s="80">
        <v>0.0</v>
      </c>
      <c r="AI31" s="108">
        <f t="shared" si="14"/>
        <v>0</v>
      </c>
      <c r="AJ31" s="61" t="str">
        <f t="shared" si="15"/>
        <v/>
      </c>
      <c r="AK31" s="61">
        <f t="shared" si="16"/>
        <v>0</v>
      </c>
      <c r="AL31" s="61" t="str">
        <f t="shared" si="17"/>
        <v/>
      </c>
      <c r="AM31" s="61" t="str">
        <f t="shared" si="18"/>
        <v/>
      </c>
      <c r="AN31" s="61" t="str">
        <f t="shared" si="19"/>
        <v/>
      </c>
      <c r="AO31" s="61" t="str">
        <f t="shared" si="20"/>
        <v/>
      </c>
      <c r="AP31" s="80" t="s">
        <v>217</v>
      </c>
      <c r="AQ31" s="80" t="s">
        <v>217</v>
      </c>
      <c r="AV31" s="61">
        <f t="shared" si="21"/>
        <v>2</v>
      </c>
      <c r="AX31" s="80" t="s">
        <v>217</v>
      </c>
      <c r="BF31" s="80" t="s">
        <v>217</v>
      </c>
      <c r="BG31" s="80" t="s">
        <v>217</v>
      </c>
      <c r="BI31" s="80" t="s">
        <v>217</v>
      </c>
      <c r="BN31" s="80" t="s">
        <v>217</v>
      </c>
      <c r="BO31" s="218" t="str">
        <f t="shared" si="36"/>
        <v/>
      </c>
      <c r="BP31" s="61">
        <f t="shared" si="33"/>
        <v>2</v>
      </c>
      <c r="BQ31" s="80" t="s">
        <v>217</v>
      </c>
      <c r="BT31" s="80" t="s">
        <v>217</v>
      </c>
      <c r="CG31" s="80" t="s">
        <v>217</v>
      </c>
      <c r="CM31" s="61">
        <f t="shared" si="22"/>
        <v>1</v>
      </c>
      <c r="CN31" s="80" t="s">
        <v>217</v>
      </c>
      <c r="CR31" s="80" t="s">
        <v>217</v>
      </c>
      <c r="CS31" s="61">
        <f t="shared" si="23"/>
        <v>2</v>
      </c>
      <c r="CU31" s="80" t="s">
        <v>217</v>
      </c>
      <c r="CV31" s="61" t="str">
        <f t="shared" si="24"/>
        <v/>
      </c>
      <c r="CW31" s="61" t="str">
        <f t="shared" si="25"/>
        <v/>
      </c>
      <c r="CX31" s="61" t="str">
        <f t="shared" si="26"/>
        <v>FA</v>
      </c>
      <c r="CY31" s="80" t="s">
        <v>217</v>
      </c>
      <c r="DA31" s="80" t="s">
        <v>217</v>
      </c>
      <c r="DG31" s="80" t="s">
        <v>217</v>
      </c>
      <c r="DH31" s="61" t="str">
        <f t="shared" si="27"/>
        <v/>
      </c>
      <c r="DI31" s="80" t="s">
        <v>217</v>
      </c>
      <c r="DK31" s="61" t="str">
        <f t="shared" si="28"/>
        <v/>
      </c>
      <c r="DL31" s="61" t="str">
        <f t="shared" si="29"/>
        <v/>
      </c>
      <c r="DP31" s="80" t="s">
        <v>217</v>
      </c>
      <c r="DU31" s="80" t="s">
        <v>217</v>
      </c>
      <c r="EB31" s="80" t="s">
        <v>603</v>
      </c>
      <c r="ED31" s="80">
        <v>2.0</v>
      </c>
      <c r="EE31" s="80" t="s">
        <v>604</v>
      </c>
      <c r="EF31" s="112">
        <v>1207.0</v>
      </c>
      <c r="EJ31" s="80" t="s">
        <v>217</v>
      </c>
    </row>
    <row r="32" ht="1.5" customHeight="1">
      <c r="A32" s="80" t="s">
        <v>606</v>
      </c>
      <c r="B32" s="113" t="s">
        <v>607</v>
      </c>
      <c r="C32" s="80" t="s">
        <v>245</v>
      </c>
      <c r="D32" s="80" t="s">
        <v>608</v>
      </c>
      <c r="E32" s="80" t="s">
        <v>217</v>
      </c>
      <c r="F32" s="80" t="s">
        <v>210</v>
      </c>
      <c r="G32" s="80" t="s">
        <v>211</v>
      </c>
      <c r="H32" s="61" t="str">
        <f t="shared" si="3"/>
        <v/>
      </c>
      <c r="I32" s="61" t="str">
        <f t="shared" si="4"/>
        <v/>
      </c>
      <c r="J32" s="61" t="str">
        <f t="shared" si="5"/>
        <v/>
      </c>
      <c r="K32" s="61" t="str">
        <f t="shared" si="6"/>
        <v/>
      </c>
      <c r="L32" s="61">
        <f t="shared" si="7"/>
        <v>1</v>
      </c>
      <c r="M32" s="61" t="str">
        <f t="shared" si="8"/>
        <v/>
      </c>
      <c r="N32" s="61" t="b">
        <f t="shared" si="9"/>
        <v>1</v>
      </c>
      <c r="O32" s="61" t="b">
        <f t="shared" si="35"/>
        <v>1</v>
      </c>
      <c r="P32" s="80">
        <v>1.0</v>
      </c>
      <c r="Q32" s="80">
        <v>1.0</v>
      </c>
      <c r="R32" s="80">
        <v>1.0</v>
      </c>
      <c r="S32" s="61" t="b">
        <f t="shared" si="11"/>
        <v>1</v>
      </c>
      <c r="T32" s="80">
        <v>1.0</v>
      </c>
      <c r="U32" s="80">
        <v>1.0</v>
      </c>
      <c r="V32" s="80">
        <v>1.0</v>
      </c>
      <c r="W32" s="80" t="s">
        <v>609</v>
      </c>
      <c r="X32" s="61" t="str">
        <f t="shared" si="30"/>
        <v/>
      </c>
      <c r="Y32" s="61" t="str">
        <f t="shared" si="12"/>
        <v>Pattabiraman:ISSRE10, </v>
      </c>
      <c r="Z32" s="114" t="s">
        <v>610</v>
      </c>
      <c r="AA32" s="80" t="s">
        <v>387</v>
      </c>
      <c r="AB32" s="80" t="s">
        <v>217</v>
      </c>
      <c r="AC32" s="80">
        <v>1.0</v>
      </c>
      <c r="AD32" s="80" t="s">
        <v>413</v>
      </c>
      <c r="AE32" s="61">
        <f t="shared" si="13"/>
        <v>0</v>
      </c>
      <c r="AF32" s="80">
        <v>2010.0</v>
      </c>
      <c r="AG32" s="80" t="s">
        <v>268</v>
      </c>
      <c r="AH32" s="80">
        <v>5.0</v>
      </c>
      <c r="AI32" s="108">
        <f t="shared" si="14"/>
        <v>2.5</v>
      </c>
      <c r="AJ32" s="61" t="str">
        <f t="shared" si="15"/>
        <v/>
      </c>
      <c r="AK32" s="61" t="str">
        <f t="shared" si="16"/>
        <v/>
      </c>
      <c r="AL32" s="61" t="str">
        <f t="shared" si="17"/>
        <v/>
      </c>
      <c r="AM32" s="61" t="str">
        <f t="shared" si="18"/>
        <v/>
      </c>
      <c r="AN32" s="61">
        <f t="shared" si="19"/>
        <v>5</v>
      </c>
      <c r="AO32" s="61" t="str">
        <f t="shared" si="20"/>
        <v/>
      </c>
      <c r="AP32" s="80" t="s">
        <v>217</v>
      </c>
      <c r="AQ32" s="80" t="s">
        <v>217</v>
      </c>
      <c r="AV32" s="61">
        <f t="shared" si="21"/>
        <v>2</v>
      </c>
      <c r="AX32" s="80" t="s">
        <v>217</v>
      </c>
      <c r="BD32" s="80" t="s">
        <v>217</v>
      </c>
      <c r="BF32" s="80" t="s">
        <v>217</v>
      </c>
      <c r="BJ32" s="80" t="s">
        <v>217</v>
      </c>
      <c r="BL32" s="80" t="s">
        <v>217</v>
      </c>
      <c r="BM32" s="80" t="s">
        <v>217</v>
      </c>
      <c r="BO32" s="218" t="str">
        <f t="shared" si="36"/>
        <v/>
      </c>
      <c r="BP32" s="61">
        <f t="shared" si="33"/>
        <v>1</v>
      </c>
      <c r="BS32" s="80" t="s">
        <v>217</v>
      </c>
      <c r="BW32" s="80" t="s">
        <v>217</v>
      </c>
      <c r="CJ32" s="80" t="s">
        <v>217</v>
      </c>
      <c r="CM32" s="61">
        <f t="shared" si="22"/>
        <v>1</v>
      </c>
      <c r="CP32" s="80" t="s">
        <v>217</v>
      </c>
      <c r="CS32" s="61">
        <f t="shared" si="23"/>
        <v>1</v>
      </c>
      <c r="CU32" s="80" t="s">
        <v>217</v>
      </c>
      <c r="CV32" s="61" t="str">
        <f t="shared" si="24"/>
        <v/>
      </c>
      <c r="CW32" s="61" t="str">
        <f t="shared" si="25"/>
        <v/>
      </c>
      <c r="CX32" s="61" t="str">
        <f t="shared" si="26"/>
        <v>FA</v>
      </c>
      <c r="CY32" s="80" t="s">
        <v>217</v>
      </c>
      <c r="CZ32" s="80" t="s">
        <v>217</v>
      </c>
      <c r="DB32" s="80" t="s">
        <v>217</v>
      </c>
      <c r="DG32" s="80" t="s">
        <v>217</v>
      </c>
      <c r="DH32" s="61" t="str">
        <f t="shared" si="27"/>
        <v/>
      </c>
      <c r="DJ32" s="80" t="s">
        <v>217</v>
      </c>
      <c r="DK32" s="61" t="str">
        <f t="shared" si="28"/>
        <v/>
      </c>
      <c r="DL32" s="61" t="str">
        <f t="shared" si="29"/>
        <v/>
      </c>
      <c r="DN32" s="80" t="s">
        <v>217</v>
      </c>
      <c r="DO32" s="80" t="s">
        <v>217</v>
      </c>
      <c r="DY32" s="80" t="s">
        <v>217</v>
      </c>
      <c r="EB32" s="80" t="s">
        <v>616</v>
      </c>
      <c r="ED32" s="80">
        <v>3.0</v>
      </c>
      <c r="EE32" s="80" t="s">
        <v>617</v>
      </c>
      <c r="EF32" s="112">
        <v>25749.0</v>
      </c>
      <c r="EG32" s="80" t="s">
        <v>618</v>
      </c>
      <c r="EH32" s="80" t="s">
        <v>217</v>
      </c>
      <c r="EI32" s="80" t="s">
        <v>217</v>
      </c>
      <c r="EK32" s="80" t="s">
        <v>1395</v>
      </c>
    </row>
    <row r="33" ht="1.5" customHeight="1">
      <c r="A33" s="80" t="s">
        <v>1396</v>
      </c>
      <c r="B33" s="113" t="s">
        <v>1397</v>
      </c>
      <c r="C33" s="80" t="s">
        <v>210</v>
      </c>
      <c r="D33" s="80" t="s">
        <v>1398</v>
      </c>
      <c r="E33" s="80" t="s">
        <v>217</v>
      </c>
      <c r="F33" s="80" t="s">
        <v>209</v>
      </c>
      <c r="G33" s="80" t="s">
        <v>211</v>
      </c>
      <c r="H33" s="61" t="str">
        <f t="shared" si="3"/>
        <v/>
      </c>
      <c r="I33" s="61" t="str">
        <f t="shared" si="4"/>
        <v/>
      </c>
      <c r="J33" s="61">
        <f t="shared" si="5"/>
        <v>1</v>
      </c>
      <c r="K33" s="61" t="str">
        <f t="shared" si="6"/>
        <v/>
      </c>
      <c r="L33" s="61" t="str">
        <f t="shared" si="7"/>
        <v/>
      </c>
      <c r="M33" s="61" t="str">
        <f t="shared" si="8"/>
        <v/>
      </c>
      <c r="N33" s="61" t="b">
        <f t="shared" si="9"/>
        <v>1</v>
      </c>
      <c r="O33" s="61" t="b">
        <f t="shared" si="35"/>
        <v>1</v>
      </c>
      <c r="P33" s="80">
        <v>1.0</v>
      </c>
      <c r="Q33" s="80">
        <v>1.0</v>
      </c>
      <c r="R33" s="80">
        <v>1.0</v>
      </c>
      <c r="S33" s="61" t="b">
        <f t="shared" si="11"/>
        <v>1</v>
      </c>
      <c r="T33" s="80">
        <v>1.0</v>
      </c>
      <c r="U33" s="80">
        <v>1.0</v>
      </c>
      <c r="V33" s="80">
        <v>1.0</v>
      </c>
      <c r="X33" s="61" t="str">
        <f t="shared" si="30"/>
        <v/>
      </c>
      <c r="Y33" s="61" t="str">
        <f t="shared" si="12"/>
        <v/>
      </c>
      <c r="Z33" s="114" t="s">
        <v>1399</v>
      </c>
      <c r="AA33" s="80" t="s">
        <v>266</v>
      </c>
      <c r="AC33" s="61">
        <f>countif('Charts-SLR'!A:A,AA33)</f>
        <v>1</v>
      </c>
      <c r="AD33" s="80" t="s">
        <v>677</v>
      </c>
      <c r="AE33" s="61">
        <f t="shared" si="13"/>
        <v>0</v>
      </c>
      <c r="AF33" s="80">
        <v>2008.0</v>
      </c>
      <c r="AG33" s="80" t="s">
        <v>250</v>
      </c>
      <c r="AH33" s="80">
        <v>70.0</v>
      </c>
      <c r="AI33" s="108">
        <f t="shared" si="14"/>
        <v>17.5</v>
      </c>
      <c r="AJ33" s="61" t="str">
        <f t="shared" si="15"/>
        <v/>
      </c>
      <c r="AK33" s="61">
        <f t="shared" si="16"/>
        <v>70</v>
      </c>
      <c r="AL33" s="61" t="str">
        <f t="shared" si="17"/>
        <v/>
      </c>
      <c r="AM33" s="61" t="str">
        <f t="shared" si="18"/>
        <v/>
      </c>
      <c r="AN33" s="61" t="str">
        <f t="shared" si="19"/>
        <v/>
      </c>
      <c r="AO33" s="61" t="str">
        <f t="shared" si="20"/>
        <v/>
      </c>
      <c r="AP33" s="80" t="s">
        <v>217</v>
      </c>
      <c r="AQ33" s="80" t="s">
        <v>217</v>
      </c>
      <c r="AV33" s="61">
        <f t="shared" si="21"/>
        <v>2</v>
      </c>
      <c r="AX33" s="80" t="s">
        <v>217</v>
      </c>
      <c r="BD33" s="80" t="s">
        <v>217</v>
      </c>
      <c r="BF33" s="80" t="s">
        <v>217</v>
      </c>
      <c r="BG33" s="80" t="s">
        <v>217</v>
      </c>
      <c r="BN33" s="80" t="s">
        <v>217</v>
      </c>
      <c r="BO33" s="122"/>
      <c r="BP33" s="61">
        <f t="shared" si="33"/>
        <v>2</v>
      </c>
      <c r="BQ33" s="80" t="s">
        <v>217</v>
      </c>
      <c r="BT33" s="80" t="s">
        <v>217</v>
      </c>
      <c r="CG33" s="80" t="s">
        <v>217</v>
      </c>
      <c r="CM33" s="61">
        <f t="shared" si="22"/>
        <v>1</v>
      </c>
      <c r="CN33" s="80" t="s">
        <v>217</v>
      </c>
      <c r="CS33" s="61">
        <f t="shared" si="23"/>
        <v>1</v>
      </c>
      <c r="CU33" s="80" t="s">
        <v>217</v>
      </c>
      <c r="CV33" s="61" t="str">
        <f t="shared" si="24"/>
        <v/>
      </c>
      <c r="CW33" s="61" t="str">
        <f t="shared" si="25"/>
        <v/>
      </c>
      <c r="CX33" s="61" t="str">
        <f t="shared" si="26"/>
        <v>FA</v>
      </c>
      <c r="DC33" s="80" t="s">
        <v>217</v>
      </c>
      <c r="DG33" s="80" t="s">
        <v>217</v>
      </c>
      <c r="DH33" s="61" t="str">
        <f t="shared" si="27"/>
        <v/>
      </c>
      <c r="DI33" s="80" t="s">
        <v>217</v>
      </c>
      <c r="DK33" s="61" t="str">
        <f t="shared" si="28"/>
        <v/>
      </c>
      <c r="DL33" s="61" t="str">
        <f t="shared" si="29"/>
        <v/>
      </c>
      <c r="DP33" s="80" t="s">
        <v>217</v>
      </c>
      <c r="DS33" s="80" t="s">
        <v>217</v>
      </c>
      <c r="EB33" s="80" t="s">
        <v>1400</v>
      </c>
      <c r="ED33" s="80">
        <v>3.0</v>
      </c>
      <c r="EE33" s="80" t="s">
        <v>1401</v>
      </c>
      <c r="EF33" s="112">
        <v>32105.0</v>
      </c>
      <c r="EG33" s="80" t="s">
        <v>1402</v>
      </c>
      <c r="EI33" s="80" t="s">
        <v>217</v>
      </c>
    </row>
    <row r="34" ht="1.5" customHeight="1">
      <c r="A34" s="114" t="s">
        <v>640</v>
      </c>
      <c r="B34" s="113" t="s">
        <v>641</v>
      </c>
      <c r="C34" s="80" t="s">
        <v>209</v>
      </c>
      <c r="D34" s="114" t="s">
        <v>642</v>
      </c>
      <c r="E34" s="80" t="s">
        <v>217</v>
      </c>
      <c r="F34" s="80" t="s">
        <v>245</v>
      </c>
      <c r="G34" s="80" t="s">
        <v>211</v>
      </c>
      <c r="H34" s="61" t="str">
        <f t="shared" si="3"/>
        <v/>
      </c>
      <c r="I34" s="61">
        <f t="shared" si="4"/>
        <v>1</v>
      </c>
      <c r="J34" s="61" t="str">
        <f t="shared" si="5"/>
        <v/>
      </c>
      <c r="K34" s="61" t="str">
        <f t="shared" si="6"/>
        <v/>
      </c>
      <c r="L34" s="61" t="str">
        <f t="shared" si="7"/>
        <v/>
      </c>
      <c r="M34" s="61" t="str">
        <f t="shared" si="8"/>
        <v/>
      </c>
      <c r="N34" s="61" t="b">
        <f t="shared" si="9"/>
        <v>1</v>
      </c>
      <c r="O34" s="61" t="b">
        <f t="shared" si="35"/>
        <v>1</v>
      </c>
      <c r="P34" s="80">
        <v>1.0</v>
      </c>
      <c r="Q34" s="80">
        <v>1.0</v>
      </c>
      <c r="R34" s="80">
        <v>1.0</v>
      </c>
      <c r="S34" s="61" t="b">
        <f t="shared" si="11"/>
        <v>1</v>
      </c>
      <c r="T34" s="80">
        <v>1.0</v>
      </c>
      <c r="U34" s="80">
        <v>1.0</v>
      </c>
      <c r="V34" s="80">
        <v>1.0</v>
      </c>
      <c r="X34" s="61" t="str">
        <f t="shared" si="30"/>
        <v/>
      </c>
      <c r="Y34" s="61" t="str">
        <f t="shared" si="12"/>
        <v/>
      </c>
      <c r="Z34" s="114" t="s">
        <v>1403</v>
      </c>
      <c r="AA34" s="80" t="s">
        <v>387</v>
      </c>
      <c r="AB34" s="114" t="s">
        <v>217</v>
      </c>
      <c r="AC34" s="80">
        <v>1.0</v>
      </c>
      <c r="AD34" s="114" t="s">
        <v>450</v>
      </c>
      <c r="AE34" s="61">
        <f t="shared" si="13"/>
        <v>0</v>
      </c>
      <c r="AF34" s="80">
        <v>2010.0</v>
      </c>
      <c r="AG34" s="80" t="s">
        <v>250</v>
      </c>
      <c r="AH34" s="80">
        <v>6.0</v>
      </c>
      <c r="AI34" s="108">
        <f t="shared" si="14"/>
        <v>3</v>
      </c>
      <c r="AJ34" s="61" t="str">
        <f t="shared" si="15"/>
        <v/>
      </c>
      <c r="AK34" s="61">
        <f t="shared" si="16"/>
        <v>6</v>
      </c>
      <c r="AL34" s="61" t="str">
        <f t="shared" si="17"/>
        <v/>
      </c>
      <c r="AM34" s="61" t="str">
        <f t="shared" si="18"/>
        <v/>
      </c>
      <c r="AN34" s="61" t="str">
        <f t="shared" si="19"/>
        <v/>
      </c>
      <c r="AO34" s="61" t="str">
        <f t="shared" si="20"/>
        <v/>
      </c>
      <c r="AP34" s="80" t="s">
        <v>217</v>
      </c>
      <c r="AQ34" s="80" t="s">
        <v>217</v>
      </c>
      <c r="AR34" s="80" t="s">
        <v>217</v>
      </c>
      <c r="AV34" s="61">
        <f t="shared" si="21"/>
        <v>3</v>
      </c>
      <c r="AX34" s="80" t="s">
        <v>217</v>
      </c>
      <c r="BE34" s="80" t="s">
        <v>217</v>
      </c>
      <c r="BL34" s="80" t="s">
        <v>217</v>
      </c>
      <c r="BN34" s="80" t="s">
        <v>217</v>
      </c>
      <c r="BO34" s="218" t="str">
        <f>if(and(BM34="x",BN34="x"), "x", "")</f>
        <v/>
      </c>
      <c r="BP34" s="61">
        <f t="shared" si="33"/>
        <v>2</v>
      </c>
      <c r="BR34" s="80" t="s">
        <v>217</v>
      </c>
      <c r="BU34" s="80" t="s">
        <v>217</v>
      </c>
      <c r="CH34" s="80" t="s">
        <v>217</v>
      </c>
      <c r="CM34" s="61">
        <f t="shared" si="22"/>
        <v>1</v>
      </c>
      <c r="CP34" s="80" t="s">
        <v>217</v>
      </c>
      <c r="CS34" s="61">
        <f t="shared" si="23"/>
        <v>1</v>
      </c>
      <c r="CT34" s="80" t="s">
        <v>217</v>
      </c>
      <c r="CU34" s="80" t="s">
        <v>217</v>
      </c>
      <c r="CV34" s="61" t="str">
        <f t="shared" si="24"/>
        <v>both</v>
      </c>
      <c r="CW34" s="61" t="str">
        <f t="shared" si="25"/>
        <v/>
      </c>
      <c r="CX34" s="61" t="str">
        <f t="shared" si="26"/>
        <v/>
      </c>
      <c r="DG34" s="80" t="s">
        <v>217</v>
      </c>
      <c r="DH34" s="61" t="str">
        <f t="shared" si="27"/>
        <v/>
      </c>
      <c r="DI34" s="80" t="s">
        <v>217</v>
      </c>
      <c r="DK34" s="61" t="str">
        <f t="shared" si="28"/>
        <v/>
      </c>
      <c r="DL34" s="61" t="str">
        <f t="shared" si="29"/>
        <v/>
      </c>
      <c r="DP34" s="80" t="s">
        <v>217</v>
      </c>
      <c r="DS34" s="80" t="s">
        <v>217</v>
      </c>
      <c r="EB34" s="80" t="s">
        <v>648</v>
      </c>
      <c r="ED34" s="80">
        <v>3.0</v>
      </c>
      <c r="EE34" s="80" t="s">
        <v>649</v>
      </c>
      <c r="EF34" s="112">
        <v>601000.0</v>
      </c>
      <c r="EG34" s="80" t="s">
        <v>650</v>
      </c>
      <c r="EI34" s="80" t="s">
        <v>483</v>
      </c>
    </row>
    <row r="35" ht="1.5" customHeight="1">
      <c r="A35" s="80" t="s">
        <v>652</v>
      </c>
      <c r="B35" s="113" t="s">
        <v>653</v>
      </c>
      <c r="C35" s="80" t="s">
        <v>210</v>
      </c>
      <c r="D35" s="80" t="s">
        <v>654</v>
      </c>
      <c r="E35" s="80" t="s">
        <v>217</v>
      </c>
      <c r="F35" s="80" t="s">
        <v>209</v>
      </c>
      <c r="G35" s="80" t="s">
        <v>211</v>
      </c>
      <c r="H35" s="61" t="str">
        <f t="shared" si="3"/>
        <v/>
      </c>
      <c r="I35" s="61" t="str">
        <f t="shared" si="4"/>
        <v/>
      </c>
      <c r="J35" s="61">
        <f t="shared" si="5"/>
        <v>1</v>
      </c>
      <c r="K35" s="61" t="str">
        <f t="shared" si="6"/>
        <v/>
      </c>
      <c r="L35" s="61" t="str">
        <f t="shared" si="7"/>
        <v/>
      </c>
      <c r="M35" s="61" t="str">
        <f t="shared" si="8"/>
        <v/>
      </c>
      <c r="N35" s="61" t="b">
        <f t="shared" si="9"/>
        <v>1</v>
      </c>
      <c r="O35" s="61" t="b">
        <f t="shared" si="35"/>
        <v>1</v>
      </c>
      <c r="P35" s="80">
        <v>1.0</v>
      </c>
      <c r="Q35" s="80">
        <v>1.0</v>
      </c>
      <c r="R35" s="80">
        <v>1.0</v>
      </c>
      <c r="S35" s="61" t="b">
        <f t="shared" si="11"/>
        <v>1</v>
      </c>
      <c r="T35" s="80">
        <v>1.0</v>
      </c>
      <c r="U35" s="80">
        <v>1.0</v>
      </c>
      <c r="V35" s="80">
        <v>1.0</v>
      </c>
      <c r="X35" s="61" t="str">
        <f t="shared" si="30"/>
        <v/>
      </c>
      <c r="Y35" s="61" t="str">
        <f t="shared" si="12"/>
        <v/>
      </c>
      <c r="Z35" s="114" t="s">
        <v>655</v>
      </c>
      <c r="AA35" s="80" t="s">
        <v>214</v>
      </c>
      <c r="AC35" s="61">
        <f>countif('Charts-SLR'!A:A,AA35)</f>
        <v>1</v>
      </c>
      <c r="AD35" s="80" t="s">
        <v>215</v>
      </c>
      <c r="AE35" s="61">
        <f t="shared" si="13"/>
        <v>0</v>
      </c>
      <c r="AF35" s="80">
        <v>2007.0</v>
      </c>
      <c r="AG35" s="80" t="s">
        <v>268</v>
      </c>
      <c r="AH35" s="80">
        <v>14.0</v>
      </c>
      <c r="AI35" s="108">
        <f t="shared" si="14"/>
        <v>2.8</v>
      </c>
      <c r="AJ35" s="61" t="str">
        <f t="shared" si="15"/>
        <v/>
      </c>
      <c r="AK35" s="61" t="str">
        <f t="shared" si="16"/>
        <v/>
      </c>
      <c r="AL35" s="61" t="str">
        <f t="shared" si="17"/>
        <v/>
      </c>
      <c r="AM35" s="61" t="str">
        <f t="shared" si="18"/>
        <v/>
      </c>
      <c r="AN35" s="61">
        <f t="shared" si="19"/>
        <v>14</v>
      </c>
      <c r="AO35" s="61" t="str">
        <f t="shared" si="20"/>
        <v>Marchetto:wse07, </v>
      </c>
      <c r="AU35" s="80" t="s">
        <v>217</v>
      </c>
      <c r="AV35" s="61">
        <f t="shared" si="21"/>
        <v>1</v>
      </c>
      <c r="AX35" s="80" t="s">
        <v>217</v>
      </c>
      <c r="BD35" s="80" t="s">
        <v>217</v>
      </c>
      <c r="BG35" s="80" t="s">
        <v>217</v>
      </c>
      <c r="BL35" s="80" t="s">
        <v>217</v>
      </c>
      <c r="BO35" s="216" t="s">
        <v>217</v>
      </c>
      <c r="BP35" s="61">
        <f t="shared" si="33"/>
        <v>3</v>
      </c>
      <c r="BQ35" s="80" t="s">
        <v>217</v>
      </c>
      <c r="BR35" s="80" t="s">
        <v>217</v>
      </c>
      <c r="BS35" s="80" t="s">
        <v>217</v>
      </c>
      <c r="CM35" s="61">
        <f t="shared" si="22"/>
        <v>0</v>
      </c>
      <c r="CS35" s="61">
        <f t="shared" si="23"/>
        <v>0</v>
      </c>
      <c r="CV35" s="61" t="str">
        <f t="shared" si="24"/>
        <v/>
      </c>
      <c r="CW35" s="61" t="str">
        <f t="shared" si="25"/>
        <v/>
      </c>
      <c r="CX35" s="61" t="str">
        <f t="shared" si="26"/>
        <v/>
      </c>
      <c r="CZ35" s="80" t="s">
        <v>217</v>
      </c>
      <c r="DG35" s="80" t="s">
        <v>217</v>
      </c>
      <c r="DH35" s="61" t="str">
        <f t="shared" si="27"/>
        <v/>
      </c>
      <c r="DI35" s="80" t="s">
        <v>217</v>
      </c>
      <c r="DK35" s="61" t="str">
        <f t="shared" si="28"/>
        <v/>
      </c>
      <c r="DL35" s="61" t="str">
        <f t="shared" si="29"/>
        <v/>
      </c>
      <c r="DM35" s="80" t="s">
        <v>217</v>
      </c>
      <c r="DO35" s="80" t="s">
        <v>217</v>
      </c>
      <c r="DS35" s="80" t="s">
        <v>217</v>
      </c>
      <c r="DU35" s="80" t="s">
        <v>217</v>
      </c>
      <c r="ED35" s="80">
        <v>1.0</v>
      </c>
      <c r="EE35" s="80" t="s">
        <v>664</v>
      </c>
      <c r="EF35" s="112">
        <v>1529.0</v>
      </c>
      <c r="EG35" s="80" t="s">
        <v>665</v>
      </c>
      <c r="EI35" s="80" t="s">
        <v>217</v>
      </c>
    </row>
    <row r="36" ht="1.5" customHeight="1">
      <c r="A36" s="80" t="s">
        <v>667</v>
      </c>
      <c r="B36" s="113" t="s">
        <v>668</v>
      </c>
      <c r="C36" s="80" t="s">
        <v>209</v>
      </c>
      <c r="D36" s="80" t="s">
        <v>669</v>
      </c>
      <c r="E36" s="80" t="s">
        <v>217</v>
      </c>
      <c r="F36" s="80" t="s">
        <v>210</v>
      </c>
      <c r="G36" s="80" t="s">
        <v>211</v>
      </c>
      <c r="H36" s="61">
        <f t="shared" si="3"/>
        <v>1</v>
      </c>
      <c r="I36" s="61" t="str">
        <f t="shared" si="4"/>
        <v/>
      </c>
      <c r="J36" s="61" t="str">
        <f t="shared" si="5"/>
        <v/>
      </c>
      <c r="K36" s="61" t="str">
        <f t="shared" si="6"/>
        <v/>
      </c>
      <c r="L36" s="61" t="str">
        <f t="shared" si="7"/>
        <v/>
      </c>
      <c r="M36" s="61" t="str">
        <f t="shared" si="8"/>
        <v/>
      </c>
      <c r="N36" s="61" t="b">
        <f t="shared" si="9"/>
        <v>1</v>
      </c>
      <c r="O36" s="61" t="b">
        <f t="shared" si="35"/>
        <v>1</v>
      </c>
      <c r="P36" s="80">
        <v>1.0</v>
      </c>
      <c r="Q36" s="80">
        <v>1.0</v>
      </c>
      <c r="R36" s="80">
        <v>1.0</v>
      </c>
      <c r="S36" s="61" t="b">
        <f t="shared" si="11"/>
        <v>1</v>
      </c>
      <c r="T36" s="80">
        <v>0.0</v>
      </c>
      <c r="U36" s="80">
        <v>1.0</v>
      </c>
      <c r="V36" s="80">
        <v>1.0</v>
      </c>
      <c r="W36" s="80" t="s">
        <v>670</v>
      </c>
      <c r="X36" s="61" t="str">
        <f t="shared" si="30"/>
        <v/>
      </c>
      <c r="Y36" s="61" t="str">
        <f t="shared" si="12"/>
        <v/>
      </c>
      <c r="Z36" s="114" t="s">
        <v>671</v>
      </c>
      <c r="AA36" s="80" t="s">
        <v>464</v>
      </c>
      <c r="AC36" s="61">
        <f>countif('Charts-SLR'!A:A,AA36)</f>
        <v>1</v>
      </c>
      <c r="AD36" s="80" t="s">
        <v>591</v>
      </c>
      <c r="AE36" s="61">
        <f t="shared" si="13"/>
        <v>0</v>
      </c>
      <c r="AF36" s="80">
        <v>2005.0</v>
      </c>
      <c r="AG36" s="80" t="s">
        <v>250</v>
      </c>
      <c r="AH36" s="80">
        <v>3.0</v>
      </c>
      <c r="AI36" s="108">
        <f t="shared" si="14"/>
        <v>0.4285714286</v>
      </c>
      <c r="AJ36" s="61" t="str">
        <f t="shared" si="15"/>
        <v/>
      </c>
      <c r="AK36" s="61">
        <f t="shared" si="16"/>
        <v>3</v>
      </c>
      <c r="AL36" s="61" t="str">
        <f t="shared" si="17"/>
        <v/>
      </c>
      <c r="AM36" s="61" t="str">
        <f t="shared" si="18"/>
        <v/>
      </c>
      <c r="AN36" s="61" t="str">
        <f t="shared" si="19"/>
        <v/>
      </c>
      <c r="AO36" s="61" t="str">
        <f t="shared" si="20"/>
        <v/>
      </c>
      <c r="AP36" s="80" t="s">
        <v>217</v>
      </c>
      <c r="AV36" s="61">
        <f t="shared" si="21"/>
        <v>1</v>
      </c>
      <c r="AZ36" s="80" t="s">
        <v>217</v>
      </c>
      <c r="BD36" s="80" t="s">
        <v>217</v>
      </c>
      <c r="BO36" s="218" t="str">
        <f t="shared" ref="BO36:BO41" si="37">if(and(BM36="x",BN36="x"), "x", "")</f>
        <v/>
      </c>
      <c r="BP36" s="61">
        <f t="shared" si="33"/>
        <v>3</v>
      </c>
      <c r="BQ36" s="80" t="s">
        <v>217</v>
      </c>
      <c r="CM36" s="61">
        <f t="shared" si="22"/>
        <v>0</v>
      </c>
      <c r="CS36" s="61">
        <f t="shared" si="23"/>
        <v>0</v>
      </c>
      <c r="CV36" s="61" t="str">
        <f t="shared" si="24"/>
        <v/>
      </c>
      <c r="CW36" s="61" t="str">
        <f t="shared" si="25"/>
        <v/>
      </c>
      <c r="CX36" s="61" t="str">
        <f t="shared" si="26"/>
        <v/>
      </c>
      <c r="DG36" s="80" t="s">
        <v>217</v>
      </c>
      <c r="DH36" s="61" t="str">
        <f t="shared" si="27"/>
        <v/>
      </c>
      <c r="DI36" s="80" t="s">
        <v>217</v>
      </c>
      <c r="DK36" s="61" t="str">
        <f t="shared" si="28"/>
        <v/>
      </c>
      <c r="DL36" s="61" t="str">
        <f t="shared" si="29"/>
        <v/>
      </c>
      <c r="EF36" s="116"/>
      <c r="EJ36" s="80" t="s">
        <v>217</v>
      </c>
      <c r="EK36" s="80" t="s">
        <v>1404</v>
      </c>
    </row>
    <row r="37" ht="1.5" customHeight="1">
      <c r="A37" s="80" t="s">
        <v>673</v>
      </c>
      <c r="B37" s="113" t="s">
        <v>674</v>
      </c>
      <c r="C37" s="80" t="s">
        <v>245</v>
      </c>
      <c r="D37" s="80" t="s">
        <v>675</v>
      </c>
      <c r="E37" s="80" t="s">
        <v>217</v>
      </c>
      <c r="F37" s="80" t="s">
        <v>210</v>
      </c>
      <c r="G37" s="80" t="s">
        <v>211</v>
      </c>
      <c r="H37" s="61" t="str">
        <f t="shared" si="3"/>
        <v/>
      </c>
      <c r="I37" s="61" t="str">
        <f t="shared" si="4"/>
        <v/>
      </c>
      <c r="J37" s="61" t="str">
        <f t="shared" si="5"/>
        <v/>
      </c>
      <c r="K37" s="61" t="str">
        <f t="shared" si="6"/>
        <v/>
      </c>
      <c r="L37" s="61">
        <f t="shared" si="7"/>
        <v>1</v>
      </c>
      <c r="M37" s="61" t="str">
        <f t="shared" si="8"/>
        <v/>
      </c>
      <c r="N37" s="61" t="b">
        <f t="shared" si="9"/>
        <v>1</v>
      </c>
      <c r="O37" s="61" t="b">
        <f t="shared" si="35"/>
        <v>1</v>
      </c>
      <c r="P37" s="80">
        <v>1.0</v>
      </c>
      <c r="Q37" s="80">
        <v>1.0</v>
      </c>
      <c r="R37" s="80">
        <v>1.0</v>
      </c>
      <c r="S37" s="61" t="b">
        <f t="shared" si="11"/>
        <v>1</v>
      </c>
      <c r="T37" s="80">
        <v>1.0</v>
      </c>
      <c r="U37" s="80">
        <v>1.0</v>
      </c>
      <c r="V37" s="80">
        <v>1.0</v>
      </c>
      <c r="X37" s="61" t="str">
        <f t="shared" si="30"/>
        <v/>
      </c>
      <c r="Y37" s="61" t="str">
        <f t="shared" si="12"/>
        <v/>
      </c>
      <c r="Z37" s="114" t="s">
        <v>676</v>
      </c>
      <c r="AA37" s="80" t="s">
        <v>266</v>
      </c>
      <c r="AC37" s="61">
        <f>countif('Charts-SLR'!A:A,AA37)</f>
        <v>1</v>
      </c>
      <c r="AD37" s="80" t="s">
        <v>677</v>
      </c>
      <c r="AE37" s="61">
        <f t="shared" si="13"/>
        <v>0</v>
      </c>
      <c r="AF37" s="80">
        <v>2008.0</v>
      </c>
      <c r="AG37" s="80" t="s">
        <v>268</v>
      </c>
      <c r="AH37" s="80">
        <v>62.0</v>
      </c>
      <c r="AI37" s="108">
        <f t="shared" si="14"/>
        <v>15.5</v>
      </c>
      <c r="AJ37" s="61" t="str">
        <f t="shared" si="15"/>
        <v/>
      </c>
      <c r="AK37" s="61" t="str">
        <f t="shared" si="16"/>
        <v/>
      </c>
      <c r="AL37" s="61" t="str">
        <f t="shared" si="17"/>
        <v/>
      </c>
      <c r="AM37" s="61" t="str">
        <f t="shared" si="18"/>
        <v/>
      </c>
      <c r="AN37" s="61">
        <f t="shared" si="19"/>
        <v>62</v>
      </c>
      <c r="AO37" s="61" t="str">
        <f t="shared" si="20"/>
        <v/>
      </c>
      <c r="AP37" s="80" t="s">
        <v>217</v>
      </c>
      <c r="AQ37" s="80" t="s">
        <v>217</v>
      </c>
      <c r="AV37" s="61">
        <f t="shared" si="21"/>
        <v>2</v>
      </c>
      <c r="AX37" s="80" t="s">
        <v>217</v>
      </c>
      <c r="BF37" s="80" t="s">
        <v>217</v>
      </c>
      <c r="BJ37" s="80" t="s">
        <v>217</v>
      </c>
      <c r="BK37" s="80" t="s">
        <v>217</v>
      </c>
      <c r="BN37" s="80" t="s">
        <v>217</v>
      </c>
      <c r="BO37" s="218" t="str">
        <f t="shared" si="37"/>
        <v/>
      </c>
      <c r="BP37" s="61">
        <f t="shared" si="33"/>
        <v>2</v>
      </c>
      <c r="BQ37" s="80" t="s">
        <v>217</v>
      </c>
      <c r="BT37" s="80" t="s">
        <v>217</v>
      </c>
      <c r="CG37" s="80" t="s">
        <v>217</v>
      </c>
      <c r="CM37" s="61">
        <f t="shared" si="22"/>
        <v>1</v>
      </c>
      <c r="CN37" s="80" t="s">
        <v>217</v>
      </c>
      <c r="CP37" s="80" t="s">
        <v>217</v>
      </c>
      <c r="CS37" s="61">
        <f t="shared" si="23"/>
        <v>2</v>
      </c>
      <c r="CU37" s="80" t="s">
        <v>217</v>
      </c>
      <c r="CV37" s="61" t="str">
        <f t="shared" si="24"/>
        <v/>
      </c>
      <c r="CW37" s="61" t="str">
        <f t="shared" si="25"/>
        <v/>
      </c>
      <c r="CX37" s="61" t="str">
        <f t="shared" si="26"/>
        <v>FA</v>
      </c>
      <c r="CY37" s="80" t="s">
        <v>217</v>
      </c>
      <c r="DC37" s="80" t="s">
        <v>217</v>
      </c>
      <c r="DG37" s="80" t="s">
        <v>217</v>
      </c>
      <c r="DH37" s="61" t="str">
        <f t="shared" si="27"/>
        <v/>
      </c>
      <c r="DI37" s="80" t="s">
        <v>217</v>
      </c>
      <c r="DK37" s="61" t="str">
        <f>if(and(DJ37="x",DI50="x"), "both", "")</f>
        <v/>
      </c>
      <c r="DL37" s="61" t="str">
        <f>if(and(DI50="",DJ37=""), "none", "")</f>
        <v>none</v>
      </c>
      <c r="DP37" s="80" t="s">
        <v>217</v>
      </c>
      <c r="DS37" s="80" t="s">
        <v>217</v>
      </c>
      <c r="EB37" s="80" t="s">
        <v>683</v>
      </c>
      <c r="ED37" s="80">
        <v>4.0</v>
      </c>
      <c r="EE37" s="80" t="s">
        <v>684</v>
      </c>
      <c r="EF37" s="112">
        <v>31245.0</v>
      </c>
      <c r="EG37" s="80" t="s">
        <v>685</v>
      </c>
      <c r="EI37" s="80" t="s">
        <v>217</v>
      </c>
    </row>
    <row r="38" ht="1.5" customHeight="1">
      <c r="A38" s="80" t="s">
        <v>687</v>
      </c>
      <c r="B38" s="113" t="s">
        <v>688</v>
      </c>
      <c r="C38" s="80" t="s">
        <v>210</v>
      </c>
      <c r="D38" s="80" t="s">
        <v>689</v>
      </c>
      <c r="E38" s="80" t="s">
        <v>217</v>
      </c>
      <c r="F38" s="80" t="s">
        <v>245</v>
      </c>
      <c r="G38" s="80" t="s">
        <v>211</v>
      </c>
      <c r="H38" s="61" t="str">
        <f t="shared" si="3"/>
        <v/>
      </c>
      <c r="I38" s="61" t="str">
        <f t="shared" si="4"/>
        <v/>
      </c>
      <c r="J38" s="61" t="str">
        <f t="shared" si="5"/>
        <v/>
      </c>
      <c r="K38" s="61">
        <f t="shared" si="6"/>
        <v>1</v>
      </c>
      <c r="L38" s="61" t="str">
        <f t="shared" si="7"/>
        <v/>
      </c>
      <c r="M38" s="61" t="str">
        <f t="shared" si="8"/>
        <v/>
      </c>
      <c r="N38" s="61" t="b">
        <f t="shared" si="9"/>
        <v>1</v>
      </c>
      <c r="O38" s="61" t="b">
        <f t="shared" si="35"/>
        <v>1</v>
      </c>
      <c r="P38" s="80">
        <v>1.0</v>
      </c>
      <c r="Q38" s="80">
        <v>1.0</v>
      </c>
      <c r="R38" s="80">
        <v>1.0</v>
      </c>
      <c r="S38" s="61" t="b">
        <f t="shared" si="11"/>
        <v>1</v>
      </c>
      <c r="T38" s="80">
        <v>1.0</v>
      </c>
      <c r="U38" s="80">
        <v>1.0</v>
      </c>
      <c r="V38" s="80">
        <v>1.0</v>
      </c>
      <c r="X38" s="61" t="str">
        <f t="shared" si="30"/>
        <v/>
      </c>
      <c r="Y38" s="61" t="str">
        <f t="shared" si="12"/>
        <v/>
      </c>
      <c r="Z38" s="114" t="s">
        <v>690</v>
      </c>
      <c r="AA38" s="80" t="s">
        <v>464</v>
      </c>
      <c r="AC38" s="61">
        <f>countif('Charts-SLR'!A:A,AA38)</f>
        <v>1</v>
      </c>
      <c r="AD38" s="80" t="s">
        <v>475</v>
      </c>
      <c r="AE38" s="61">
        <f t="shared" si="13"/>
        <v>0</v>
      </c>
      <c r="AF38" s="80">
        <v>2008.0</v>
      </c>
      <c r="AG38" s="80" t="s">
        <v>231</v>
      </c>
      <c r="AH38" s="80">
        <v>18.0</v>
      </c>
      <c r="AI38" s="108">
        <f t="shared" si="14"/>
        <v>4.5</v>
      </c>
      <c r="AJ38" s="61">
        <f t="shared" si="15"/>
        <v>18</v>
      </c>
      <c r="AK38" s="61" t="str">
        <f t="shared" si="16"/>
        <v/>
      </c>
      <c r="AL38" s="61" t="str">
        <f t="shared" si="17"/>
        <v/>
      </c>
      <c r="AM38" s="61" t="str">
        <f t="shared" si="18"/>
        <v/>
      </c>
      <c r="AN38" s="61" t="str">
        <f t="shared" si="19"/>
        <v/>
      </c>
      <c r="AO38" s="61" t="str">
        <f t="shared" si="20"/>
        <v/>
      </c>
      <c r="AP38" s="80" t="s">
        <v>217</v>
      </c>
      <c r="AV38" s="61">
        <f t="shared" si="21"/>
        <v>1</v>
      </c>
      <c r="AW38" s="80" t="s">
        <v>217</v>
      </c>
      <c r="BD38" s="80" t="s">
        <v>217</v>
      </c>
      <c r="BI38" s="80" t="s">
        <v>217</v>
      </c>
      <c r="BJ38" s="80" t="s">
        <v>217</v>
      </c>
      <c r="BN38" s="80" t="s">
        <v>217</v>
      </c>
      <c r="BO38" s="218" t="str">
        <f t="shared" si="37"/>
        <v/>
      </c>
      <c r="BP38" s="61">
        <f t="shared" si="33"/>
        <v>2</v>
      </c>
      <c r="BS38" s="80" t="s">
        <v>217</v>
      </c>
      <c r="BT38" s="80" t="s">
        <v>217</v>
      </c>
      <c r="CD38" s="80" t="s">
        <v>217</v>
      </c>
      <c r="CM38" s="61">
        <f t="shared" si="22"/>
        <v>1</v>
      </c>
      <c r="CQ38" s="80" t="s">
        <v>217</v>
      </c>
      <c r="CS38" s="61">
        <f t="shared" si="23"/>
        <v>1</v>
      </c>
      <c r="CT38" s="80" t="s">
        <v>217</v>
      </c>
      <c r="CV38" s="61" t="str">
        <f t="shared" si="24"/>
        <v/>
      </c>
      <c r="CW38" s="61" t="str">
        <f t="shared" si="25"/>
        <v>FM</v>
      </c>
      <c r="CX38" s="61" t="str">
        <f t="shared" si="26"/>
        <v/>
      </c>
      <c r="DD38" s="80" t="s">
        <v>217</v>
      </c>
      <c r="DG38" s="80" t="s">
        <v>217</v>
      </c>
      <c r="DH38" s="61" t="str">
        <f t="shared" si="27"/>
        <v/>
      </c>
      <c r="DI38" s="80" t="s">
        <v>217</v>
      </c>
      <c r="DK38" s="61" t="str">
        <f t="shared" ref="DK38:DK81" si="38">if(and(DJ38="x",DI38="x"), "both", "")</f>
        <v/>
      </c>
      <c r="DL38" s="61" t="str">
        <f t="shared" ref="DL38:DL81" si="39">if(and(DI38="",DJ38=""), "none", "")</f>
        <v/>
      </c>
      <c r="DM38" s="80" t="s">
        <v>217</v>
      </c>
      <c r="EF38" s="116"/>
      <c r="EH38" s="80" t="s">
        <v>217</v>
      </c>
    </row>
    <row r="39" ht="1.5" customHeight="1">
      <c r="A39" s="80" t="s">
        <v>692</v>
      </c>
      <c r="B39" s="113" t="s">
        <v>693</v>
      </c>
      <c r="C39" s="80" t="s">
        <v>209</v>
      </c>
      <c r="D39" s="80" t="s">
        <v>694</v>
      </c>
      <c r="E39" s="80" t="s">
        <v>217</v>
      </c>
      <c r="F39" s="80" t="s">
        <v>210</v>
      </c>
      <c r="G39" s="80" t="s">
        <v>211</v>
      </c>
      <c r="H39" s="61">
        <f t="shared" si="3"/>
        <v>1</v>
      </c>
      <c r="I39" s="61" t="str">
        <f t="shared" si="4"/>
        <v/>
      </c>
      <c r="J39" s="61" t="str">
        <f t="shared" si="5"/>
        <v/>
      </c>
      <c r="K39" s="61" t="str">
        <f t="shared" si="6"/>
        <v/>
      </c>
      <c r="L39" s="61" t="str">
        <f t="shared" si="7"/>
        <v/>
      </c>
      <c r="M39" s="61" t="str">
        <f t="shared" si="8"/>
        <v/>
      </c>
      <c r="N39" s="61" t="b">
        <f t="shared" si="9"/>
        <v>1</v>
      </c>
      <c r="O39" s="61" t="b">
        <f t="shared" si="35"/>
        <v>1</v>
      </c>
      <c r="P39" s="80">
        <v>1.0</v>
      </c>
      <c r="Q39" s="80">
        <v>1.0</v>
      </c>
      <c r="R39" s="80">
        <v>1.0</v>
      </c>
      <c r="S39" s="61" t="b">
        <f t="shared" si="11"/>
        <v>1</v>
      </c>
      <c r="T39" s="80">
        <v>0.0</v>
      </c>
      <c r="U39" s="80">
        <v>1.0</v>
      </c>
      <c r="V39" s="80">
        <v>1.0</v>
      </c>
      <c r="W39" s="115" t="s">
        <v>695</v>
      </c>
      <c r="X39" s="61" t="str">
        <f t="shared" si="30"/>
        <v/>
      </c>
      <c r="Y39" s="61" t="str">
        <f t="shared" si="12"/>
        <v/>
      </c>
      <c r="Z39" s="114" t="s">
        <v>696</v>
      </c>
      <c r="AA39" s="80" t="s">
        <v>697</v>
      </c>
      <c r="AC39" s="61">
        <f>countif('Charts-SLR'!A:A,AA39)</f>
        <v>1</v>
      </c>
      <c r="AD39" s="80" t="s">
        <v>698</v>
      </c>
      <c r="AE39" s="61">
        <f t="shared" si="13"/>
        <v>0</v>
      </c>
      <c r="AF39" s="80">
        <v>2010.0</v>
      </c>
      <c r="AG39" s="80" t="s">
        <v>231</v>
      </c>
      <c r="AH39" s="80">
        <v>0.0</v>
      </c>
      <c r="AI39" s="108">
        <f t="shared" si="14"/>
        <v>0</v>
      </c>
      <c r="AJ39" s="61">
        <f t="shared" si="15"/>
        <v>0</v>
      </c>
      <c r="AK39" s="61" t="str">
        <f t="shared" si="16"/>
        <v/>
      </c>
      <c r="AL39" s="61" t="str">
        <f t="shared" si="17"/>
        <v/>
      </c>
      <c r="AM39" s="61" t="str">
        <f t="shared" si="18"/>
        <v/>
      </c>
      <c r="AN39" s="61" t="str">
        <f t="shared" si="19"/>
        <v/>
      </c>
      <c r="AO39" s="61" t="str">
        <f t="shared" si="20"/>
        <v/>
      </c>
      <c r="AP39" s="80" t="s">
        <v>217</v>
      </c>
      <c r="AQ39" s="80" t="s">
        <v>217</v>
      </c>
      <c r="AT39" s="80" t="s">
        <v>217</v>
      </c>
      <c r="AV39" s="61">
        <f t="shared" si="21"/>
        <v>3</v>
      </c>
      <c r="AW39" s="80" t="s">
        <v>217</v>
      </c>
      <c r="BD39" s="80" t="s">
        <v>217</v>
      </c>
      <c r="BH39" s="80" t="s">
        <v>217</v>
      </c>
      <c r="BI39" s="80" t="s">
        <v>217</v>
      </c>
      <c r="BM39" s="80" t="s">
        <v>217</v>
      </c>
      <c r="BO39" s="218" t="str">
        <f t="shared" si="37"/>
        <v/>
      </c>
      <c r="BP39" s="61">
        <f t="shared" si="33"/>
        <v>1</v>
      </c>
      <c r="BQ39" s="80" t="s">
        <v>217</v>
      </c>
      <c r="BV39" s="80" t="s">
        <v>217</v>
      </c>
      <c r="CB39" s="80" t="s">
        <v>217</v>
      </c>
      <c r="CM39" s="61">
        <f t="shared" si="22"/>
        <v>1</v>
      </c>
      <c r="CN39" s="80" t="s">
        <v>217</v>
      </c>
      <c r="CQ39" s="80" t="s">
        <v>217</v>
      </c>
      <c r="CS39" s="61">
        <f t="shared" si="23"/>
        <v>2</v>
      </c>
      <c r="CU39" s="80" t="s">
        <v>217</v>
      </c>
      <c r="CV39" s="61" t="str">
        <f t="shared" si="24"/>
        <v/>
      </c>
      <c r="CW39" s="61" t="str">
        <f t="shared" si="25"/>
        <v/>
      </c>
      <c r="CX39" s="61" t="str">
        <f t="shared" si="26"/>
        <v>FA</v>
      </c>
      <c r="DG39" s="80" t="s">
        <v>217</v>
      </c>
      <c r="DH39" s="61" t="str">
        <f t="shared" si="27"/>
        <v/>
      </c>
      <c r="DI39" s="80" t="s">
        <v>217</v>
      </c>
      <c r="DK39" s="61" t="str">
        <f t="shared" si="38"/>
        <v/>
      </c>
      <c r="DL39" s="61" t="str">
        <f t="shared" si="39"/>
        <v/>
      </c>
      <c r="DQ39" s="80" t="s">
        <v>217</v>
      </c>
      <c r="DZ39" s="80" t="s">
        <v>217</v>
      </c>
      <c r="EB39" s="80" t="s">
        <v>699</v>
      </c>
      <c r="ED39" s="80">
        <v>1.0</v>
      </c>
      <c r="EE39" s="80" t="s">
        <v>700</v>
      </c>
      <c r="EF39" s="116"/>
      <c r="EI39" s="80" t="s">
        <v>217</v>
      </c>
    </row>
    <row r="40" ht="1.5" customHeight="1">
      <c r="A40" s="80" t="s">
        <v>714</v>
      </c>
      <c r="B40" s="113" t="s">
        <v>715</v>
      </c>
      <c r="C40" s="80" t="s">
        <v>209</v>
      </c>
      <c r="D40" s="80" t="s">
        <v>716</v>
      </c>
      <c r="E40" s="80" t="s">
        <v>217</v>
      </c>
      <c r="F40" s="80" t="s">
        <v>210</v>
      </c>
      <c r="G40" s="80" t="s">
        <v>211</v>
      </c>
      <c r="H40" s="61">
        <f t="shared" si="3"/>
        <v>1</v>
      </c>
      <c r="I40" s="61" t="str">
        <f t="shared" si="4"/>
        <v/>
      </c>
      <c r="J40" s="61" t="str">
        <f t="shared" si="5"/>
        <v/>
      </c>
      <c r="K40" s="61" t="str">
        <f t="shared" si="6"/>
        <v/>
      </c>
      <c r="L40" s="61" t="str">
        <f t="shared" si="7"/>
        <v/>
      </c>
      <c r="M40" s="61" t="str">
        <f t="shared" si="8"/>
        <v/>
      </c>
      <c r="N40" s="61" t="b">
        <f t="shared" si="9"/>
        <v>1</v>
      </c>
      <c r="O40" s="61" t="b">
        <f t="shared" si="35"/>
        <v>1</v>
      </c>
      <c r="P40" s="80">
        <v>1.0</v>
      </c>
      <c r="Q40" s="80">
        <v>1.0</v>
      </c>
      <c r="R40" s="80">
        <v>1.0</v>
      </c>
      <c r="S40" s="61" t="b">
        <f t="shared" si="11"/>
        <v>1</v>
      </c>
      <c r="T40" s="80">
        <v>1.0</v>
      </c>
      <c r="U40" s="80">
        <v>1.0</v>
      </c>
      <c r="V40" s="80">
        <v>1.0</v>
      </c>
      <c r="W40" s="80" t="s">
        <v>717</v>
      </c>
      <c r="X40" s="61" t="str">
        <f t="shared" si="30"/>
        <v/>
      </c>
      <c r="Y40" s="61" t="str">
        <f t="shared" si="12"/>
        <v/>
      </c>
      <c r="Z40" s="114" t="s">
        <v>718</v>
      </c>
      <c r="AA40" s="80" t="s">
        <v>719</v>
      </c>
      <c r="AC40" s="61">
        <f>countif('Charts-SLR'!A:A,AA40)</f>
        <v>1</v>
      </c>
      <c r="AD40" s="80" t="s">
        <v>720</v>
      </c>
      <c r="AE40" s="61">
        <f t="shared" si="13"/>
        <v>0</v>
      </c>
      <c r="AF40" s="80">
        <v>2008.0</v>
      </c>
      <c r="AG40" s="80" t="s">
        <v>216</v>
      </c>
      <c r="AH40" s="80">
        <v>11.0</v>
      </c>
      <c r="AI40" s="108">
        <f t="shared" si="14"/>
        <v>2.75</v>
      </c>
      <c r="AJ40" s="61" t="str">
        <f t="shared" si="15"/>
        <v/>
      </c>
      <c r="AK40" s="61" t="str">
        <f t="shared" si="16"/>
        <v/>
      </c>
      <c r="AL40" s="61">
        <f t="shared" si="17"/>
        <v>11</v>
      </c>
      <c r="AM40" s="61" t="str">
        <f t="shared" si="18"/>
        <v/>
      </c>
      <c r="AN40" s="61" t="str">
        <f t="shared" si="19"/>
        <v/>
      </c>
      <c r="AO40" s="61" t="str">
        <f t="shared" si="20"/>
        <v/>
      </c>
      <c r="AP40" s="80" t="s">
        <v>217</v>
      </c>
      <c r="AQ40" s="80" t="s">
        <v>217</v>
      </c>
      <c r="AV40" s="61">
        <f t="shared" si="21"/>
        <v>2</v>
      </c>
      <c r="AW40" s="80" t="s">
        <v>217</v>
      </c>
      <c r="BD40" s="80" t="s">
        <v>217</v>
      </c>
      <c r="BH40" s="80" t="s">
        <v>217</v>
      </c>
      <c r="BI40" s="80" t="s">
        <v>217</v>
      </c>
      <c r="BJ40" s="80" t="s">
        <v>217</v>
      </c>
      <c r="BM40" s="80" t="s">
        <v>217</v>
      </c>
      <c r="BO40" s="218" t="str">
        <f t="shared" si="37"/>
        <v/>
      </c>
      <c r="BP40" s="61">
        <f t="shared" si="33"/>
        <v>1</v>
      </c>
      <c r="BS40" s="80" t="s">
        <v>217</v>
      </c>
      <c r="BY40" s="80" t="s">
        <v>217</v>
      </c>
      <c r="CJ40" s="80" t="s">
        <v>217</v>
      </c>
      <c r="CM40" s="61">
        <f t="shared" si="22"/>
        <v>1</v>
      </c>
      <c r="CN40" s="80" t="s">
        <v>217</v>
      </c>
      <c r="CP40" s="80" t="s">
        <v>217</v>
      </c>
      <c r="CS40" s="61">
        <f t="shared" si="23"/>
        <v>2</v>
      </c>
      <c r="CT40" s="80" t="s">
        <v>217</v>
      </c>
      <c r="CU40" s="80" t="s">
        <v>217</v>
      </c>
      <c r="CV40" s="61" t="str">
        <f t="shared" si="24"/>
        <v>both</v>
      </c>
      <c r="CW40" s="61" t="str">
        <f t="shared" si="25"/>
        <v/>
      </c>
      <c r="CX40" s="61" t="str">
        <f t="shared" si="26"/>
        <v/>
      </c>
      <c r="DG40" s="80" t="s">
        <v>217</v>
      </c>
      <c r="DH40" s="61" t="str">
        <f t="shared" si="27"/>
        <v/>
      </c>
      <c r="DI40" s="80" t="s">
        <v>217</v>
      </c>
      <c r="DK40" s="61" t="str">
        <f t="shared" si="38"/>
        <v/>
      </c>
      <c r="DL40" s="61" t="str">
        <f t="shared" si="39"/>
        <v/>
      </c>
      <c r="DM40" s="80" t="s">
        <v>217</v>
      </c>
      <c r="DN40" s="80" t="s">
        <v>217</v>
      </c>
      <c r="DS40" s="80" t="s">
        <v>217</v>
      </c>
      <c r="EB40" s="80" t="s">
        <v>721</v>
      </c>
      <c r="ED40" s="80">
        <v>1.0</v>
      </c>
      <c r="EE40" s="80" t="s">
        <v>722</v>
      </c>
      <c r="EF40" s="116"/>
      <c r="EG40" s="80" t="s">
        <v>723</v>
      </c>
      <c r="EI40" s="80" t="s">
        <v>217</v>
      </c>
    </row>
    <row r="41" ht="1.5" customHeight="1">
      <c r="A41" s="80" t="s">
        <v>725</v>
      </c>
      <c r="B41" s="113" t="s">
        <v>726</v>
      </c>
      <c r="C41" s="80" t="s">
        <v>245</v>
      </c>
      <c r="D41" s="80" t="s">
        <v>727</v>
      </c>
      <c r="E41" s="80" t="s">
        <v>217</v>
      </c>
      <c r="F41" s="80" t="s">
        <v>210</v>
      </c>
      <c r="G41" s="80" t="s">
        <v>211</v>
      </c>
      <c r="H41" s="61" t="str">
        <f t="shared" si="3"/>
        <v/>
      </c>
      <c r="I41" s="61" t="str">
        <f t="shared" si="4"/>
        <v/>
      </c>
      <c r="J41" s="61" t="str">
        <f t="shared" si="5"/>
        <v/>
      </c>
      <c r="K41" s="61" t="str">
        <f t="shared" si="6"/>
        <v/>
      </c>
      <c r="L41" s="61">
        <f t="shared" si="7"/>
        <v>1</v>
      </c>
      <c r="M41" s="61" t="str">
        <f t="shared" si="8"/>
        <v/>
      </c>
      <c r="N41" s="61" t="b">
        <f t="shared" si="9"/>
        <v>1</v>
      </c>
      <c r="O41" s="61" t="b">
        <f t="shared" si="35"/>
        <v>1</v>
      </c>
      <c r="P41" s="80">
        <v>1.0</v>
      </c>
      <c r="Q41" s="80">
        <v>1.0</v>
      </c>
      <c r="R41" s="80">
        <v>1.0</v>
      </c>
      <c r="S41" s="61" t="b">
        <f t="shared" si="11"/>
        <v>1</v>
      </c>
      <c r="T41" s="80">
        <v>1.0</v>
      </c>
      <c r="U41" s="80">
        <v>1.0</v>
      </c>
      <c r="V41" s="80">
        <v>1.0</v>
      </c>
      <c r="X41" s="61" t="str">
        <f t="shared" si="30"/>
        <v/>
      </c>
      <c r="Y41" s="61" t="str">
        <f t="shared" si="12"/>
        <v/>
      </c>
      <c r="Z41" s="114" t="s">
        <v>728</v>
      </c>
      <c r="AA41" s="80" t="s">
        <v>266</v>
      </c>
      <c r="AC41" s="61">
        <f>countif('Charts-SLR'!A:A,AA41)</f>
        <v>1</v>
      </c>
      <c r="AD41" s="80" t="s">
        <v>400</v>
      </c>
      <c r="AE41" s="61">
        <f t="shared" si="13"/>
        <v>0</v>
      </c>
      <c r="AF41" s="80">
        <v>2007.0</v>
      </c>
      <c r="AG41" s="80" t="s">
        <v>250</v>
      </c>
      <c r="AH41" s="80">
        <v>48.0</v>
      </c>
      <c r="AI41" s="108">
        <f t="shared" si="14"/>
        <v>9.6</v>
      </c>
      <c r="AJ41" s="61" t="str">
        <f t="shared" si="15"/>
        <v/>
      </c>
      <c r="AK41" s="61">
        <f t="shared" si="16"/>
        <v>48</v>
      </c>
      <c r="AL41" s="61" t="str">
        <f t="shared" si="17"/>
        <v/>
      </c>
      <c r="AM41" s="61" t="str">
        <f t="shared" si="18"/>
        <v/>
      </c>
      <c r="AN41" s="61" t="str">
        <f t="shared" si="19"/>
        <v/>
      </c>
      <c r="AO41" s="61" t="str">
        <f t="shared" si="20"/>
        <v/>
      </c>
      <c r="AP41" s="80" t="s">
        <v>217</v>
      </c>
      <c r="AQ41" s="80" t="s">
        <v>217</v>
      </c>
      <c r="AS41" s="80" t="s">
        <v>217</v>
      </c>
      <c r="AV41" s="61">
        <f t="shared" si="21"/>
        <v>3</v>
      </c>
      <c r="AX41" s="80" t="s">
        <v>217</v>
      </c>
      <c r="BE41" s="80" t="s">
        <v>217</v>
      </c>
      <c r="BG41" s="80" t="s">
        <v>217</v>
      </c>
      <c r="BN41" s="80" t="s">
        <v>217</v>
      </c>
      <c r="BO41" s="218" t="str">
        <f t="shared" si="37"/>
        <v/>
      </c>
      <c r="BP41" s="61">
        <f t="shared" si="33"/>
        <v>2</v>
      </c>
      <c r="BQ41" s="80" t="s">
        <v>217</v>
      </c>
      <c r="BT41" s="80" t="s">
        <v>217</v>
      </c>
      <c r="CD41" s="80" t="s">
        <v>217</v>
      </c>
      <c r="CM41" s="61">
        <f t="shared" si="22"/>
        <v>1</v>
      </c>
      <c r="CO41" s="80" t="s">
        <v>217</v>
      </c>
      <c r="CS41" s="61">
        <f t="shared" si="23"/>
        <v>1</v>
      </c>
      <c r="CU41" s="80" t="s">
        <v>217</v>
      </c>
      <c r="CV41" s="61" t="str">
        <f t="shared" si="24"/>
        <v/>
      </c>
      <c r="CW41" s="61" t="str">
        <f t="shared" si="25"/>
        <v/>
      </c>
      <c r="CX41" s="61" t="str">
        <f t="shared" si="26"/>
        <v>FA</v>
      </c>
      <c r="CY41" s="80" t="s">
        <v>217</v>
      </c>
      <c r="DA41" s="80" t="s">
        <v>217</v>
      </c>
      <c r="DE41" s="80" t="s">
        <v>217</v>
      </c>
      <c r="DG41" s="80" t="s">
        <v>217</v>
      </c>
      <c r="DH41" s="61" t="str">
        <f t="shared" si="27"/>
        <v/>
      </c>
      <c r="DI41" s="80" t="s">
        <v>217</v>
      </c>
      <c r="DK41" s="61" t="str">
        <f t="shared" si="38"/>
        <v/>
      </c>
      <c r="DL41" s="61" t="str">
        <f t="shared" si="39"/>
        <v/>
      </c>
      <c r="DP41" s="80" t="s">
        <v>217</v>
      </c>
      <c r="EB41" s="80" t="s">
        <v>736</v>
      </c>
      <c r="ED41" s="80">
        <v>7.0</v>
      </c>
      <c r="EE41" s="80" t="s">
        <v>737</v>
      </c>
      <c r="EF41" s="112">
        <v>68971.0</v>
      </c>
      <c r="EG41" s="80" t="s">
        <v>738</v>
      </c>
      <c r="EH41" s="80" t="s">
        <v>217</v>
      </c>
      <c r="EJ41" s="80" t="s">
        <v>217</v>
      </c>
    </row>
    <row r="42" ht="1.5" customHeight="1">
      <c r="A42" s="80" t="s">
        <v>740</v>
      </c>
      <c r="B42" s="113" t="s">
        <v>741</v>
      </c>
      <c r="C42" s="80" t="s">
        <v>210</v>
      </c>
      <c r="D42" s="80" t="s">
        <v>742</v>
      </c>
      <c r="E42" s="216" t="s">
        <v>217</v>
      </c>
      <c r="F42" s="80" t="s">
        <v>245</v>
      </c>
      <c r="G42" s="80" t="s">
        <v>211</v>
      </c>
      <c r="H42" s="61" t="str">
        <f t="shared" si="3"/>
        <v/>
      </c>
      <c r="I42" s="61" t="str">
        <f t="shared" si="4"/>
        <v/>
      </c>
      <c r="J42" s="61" t="str">
        <f t="shared" si="5"/>
        <v/>
      </c>
      <c r="K42" s="61">
        <f t="shared" si="6"/>
        <v>1</v>
      </c>
      <c r="L42" s="61" t="str">
        <f t="shared" si="7"/>
        <v/>
      </c>
      <c r="M42" s="61" t="str">
        <f t="shared" si="8"/>
        <v/>
      </c>
      <c r="N42" s="61" t="b">
        <f t="shared" si="9"/>
        <v>1</v>
      </c>
      <c r="O42" s="61" t="b">
        <f t="shared" si="35"/>
        <v>1</v>
      </c>
      <c r="P42" s="80">
        <v>1.0</v>
      </c>
      <c r="Q42" s="80">
        <v>1.0</v>
      </c>
      <c r="R42" s="80">
        <v>1.0</v>
      </c>
      <c r="S42" s="61" t="b">
        <f t="shared" si="11"/>
        <v>1</v>
      </c>
      <c r="T42" s="80">
        <v>1.0</v>
      </c>
      <c r="U42" s="80">
        <v>1.0</v>
      </c>
      <c r="V42" s="80">
        <v>1.0</v>
      </c>
      <c r="X42" s="61" t="str">
        <f t="shared" si="30"/>
        <v/>
      </c>
      <c r="Y42" s="61" t="str">
        <f t="shared" si="12"/>
        <v/>
      </c>
      <c r="Z42" s="114" t="s">
        <v>743</v>
      </c>
      <c r="AA42" s="80" t="s">
        <v>214</v>
      </c>
      <c r="AC42" s="61">
        <f>countif('Charts-SLR'!A:A,AA42)</f>
        <v>1</v>
      </c>
      <c r="AD42" s="80" t="s">
        <v>215</v>
      </c>
      <c r="AE42" s="61">
        <f t="shared" si="13"/>
        <v>0</v>
      </c>
      <c r="AF42" s="80">
        <v>2009.0</v>
      </c>
      <c r="AG42" s="80" t="s">
        <v>268</v>
      </c>
      <c r="AH42" s="80">
        <v>1.0</v>
      </c>
      <c r="AI42" s="108">
        <f t="shared" si="14"/>
        <v>0.3333333333</v>
      </c>
      <c r="AJ42" s="61" t="str">
        <f t="shared" si="15"/>
        <v/>
      </c>
      <c r="AK42" s="61" t="str">
        <f t="shared" si="16"/>
        <v/>
      </c>
      <c r="AL42" s="61" t="str">
        <f t="shared" si="17"/>
        <v/>
      </c>
      <c r="AM42" s="61" t="str">
        <f t="shared" si="18"/>
        <v/>
      </c>
      <c r="AN42" s="61">
        <f t="shared" si="19"/>
        <v>1</v>
      </c>
      <c r="AO42" s="61" t="str">
        <f t="shared" si="20"/>
        <v/>
      </c>
      <c r="AQ42" s="80" t="s">
        <v>217</v>
      </c>
      <c r="AS42" s="80" t="s">
        <v>217</v>
      </c>
      <c r="AV42" s="61">
        <f t="shared" si="21"/>
        <v>2</v>
      </c>
      <c r="AX42" s="80" t="s">
        <v>217</v>
      </c>
      <c r="BD42" s="80" t="s">
        <v>217</v>
      </c>
      <c r="BL42" s="80" t="s">
        <v>217</v>
      </c>
      <c r="BO42" s="80" t="s">
        <v>217</v>
      </c>
      <c r="BP42" s="61">
        <f t="shared" si="33"/>
        <v>3</v>
      </c>
      <c r="BQ42" s="80" t="s">
        <v>217</v>
      </c>
      <c r="BR42" s="80" t="s">
        <v>217</v>
      </c>
      <c r="BS42" s="80" t="s">
        <v>217</v>
      </c>
      <c r="BT42" s="80" t="s">
        <v>217</v>
      </c>
      <c r="CD42" s="80" t="s">
        <v>217</v>
      </c>
      <c r="CF42" s="80" t="s">
        <v>217</v>
      </c>
      <c r="CM42" s="61">
        <f t="shared" si="22"/>
        <v>2</v>
      </c>
      <c r="CR42" s="80" t="s">
        <v>217</v>
      </c>
      <c r="CS42" s="61">
        <f t="shared" si="23"/>
        <v>1</v>
      </c>
      <c r="CU42" s="80" t="s">
        <v>217</v>
      </c>
      <c r="CV42" s="61" t="str">
        <f t="shared" si="24"/>
        <v/>
      </c>
      <c r="CW42" s="61" t="str">
        <f t="shared" si="25"/>
        <v/>
      </c>
      <c r="CX42" s="61" t="str">
        <f t="shared" si="26"/>
        <v>FA</v>
      </c>
      <c r="DG42" s="80" t="s">
        <v>217</v>
      </c>
      <c r="DH42" s="61" t="str">
        <f t="shared" si="27"/>
        <v/>
      </c>
      <c r="DI42" s="80" t="s">
        <v>217</v>
      </c>
      <c r="DK42" s="61" t="str">
        <f t="shared" si="38"/>
        <v/>
      </c>
      <c r="DL42" s="61" t="str">
        <f t="shared" si="39"/>
        <v/>
      </c>
      <c r="DM42" s="80" t="s">
        <v>217</v>
      </c>
      <c r="DO42" s="80" t="s">
        <v>217</v>
      </c>
      <c r="EB42" s="80" t="s">
        <v>748</v>
      </c>
      <c r="EF42" s="116"/>
      <c r="EG42" s="80" t="s">
        <v>749</v>
      </c>
    </row>
    <row r="43" ht="1.5" customHeight="1">
      <c r="A43" s="80" t="s">
        <v>751</v>
      </c>
      <c r="B43" s="113" t="s">
        <v>752</v>
      </c>
      <c r="C43" s="80" t="s">
        <v>245</v>
      </c>
      <c r="D43" s="80" t="s">
        <v>753</v>
      </c>
      <c r="E43" s="80" t="s">
        <v>217</v>
      </c>
      <c r="F43" s="80" t="s">
        <v>210</v>
      </c>
      <c r="G43" s="80" t="s">
        <v>211</v>
      </c>
      <c r="H43" s="61" t="str">
        <f t="shared" si="3"/>
        <v/>
      </c>
      <c r="I43" s="61" t="str">
        <f t="shared" si="4"/>
        <v/>
      </c>
      <c r="J43" s="61" t="str">
        <f t="shared" si="5"/>
        <v/>
      </c>
      <c r="K43" s="61" t="str">
        <f t="shared" si="6"/>
        <v/>
      </c>
      <c r="L43" s="61">
        <f t="shared" si="7"/>
        <v>1</v>
      </c>
      <c r="M43" s="61" t="str">
        <f t="shared" si="8"/>
        <v/>
      </c>
      <c r="N43" s="61" t="b">
        <f t="shared" si="9"/>
        <v>1</v>
      </c>
      <c r="O43" s="61" t="b">
        <f t="shared" si="35"/>
        <v>1</v>
      </c>
      <c r="P43" s="80">
        <v>1.0</v>
      </c>
      <c r="Q43" s="80">
        <v>1.0</v>
      </c>
      <c r="R43" s="80">
        <v>1.0</v>
      </c>
      <c r="S43" s="61" t="b">
        <f t="shared" si="11"/>
        <v>1</v>
      </c>
      <c r="T43" s="80">
        <v>1.0</v>
      </c>
      <c r="U43" s="80">
        <v>1.0</v>
      </c>
      <c r="V43" s="80">
        <v>1.0</v>
      </c>
      <c r="X43" s="61" t="str">
        <f t="shared" si="30"/>
        <v>Sampath:tav06, </v>
      </c>
      <c r="Y43" s="61" t="str">
        <f t="shared" si="12"/>
        <v/>
      </c>
      <c r="Z43" s="114" t="s">
        <v>360</v>
      </c>
      <c r="AA43" s="80" t="s">
        <v>266</v>
      </c>
      <c r="AC43" s="61">
        <f>countif('Charts-SLR'!A:A,AA43)</f>
        <v>1</v>
      </c>
      <c r="AD43" s="80" t="s">
        <v>720</v>
      </c>
      <c r="AE43" s="61">
        <f t="shared" si="13"/>
        <v>0</v>
      </c>
      <c r="AF43" s="80">
        <v>2006.0</v>
      </c>
      <c r="AG43" s="80" t="s">
        <v>216</v>
      </c>
      <c r="AH43" s="80">
        <v>4.0</v>
      </c>
      <c r="AI43" s="108">
        <f t="shared" si="14"/>
        <v>0.6666666667</v>
      </c>
      <c r="AJ43" s="61" t="str">
        <f t="shared" si="15"/>
        <v/>
      </c>
      <c r="AK43" s="61" t="str">
        <f t="shared" si="16"/>
        <v/>
      </c>
      <c r="AL43" s="61">
        <f t="shared" si="17"/>
        <v>4</v>
      </c>
      <c r="AM43" s="61" t="str">
        <f t="shared" si="18"/>
        <v/>
      </c>
      <c r="AN43" s="61" t="str">
        <f t="shared" si="19"/>
        <v/>
      </c>
      <c r="AO43" s="61" t="str">
        <f t="shared" si="20"/>
        <v>Sampath:tav06, </v>
      </c>
      <c r="AU43" s="80" t="s">
        <v>217</v>
      </c>
      <c r="AV43" s="61">
        <f t="shared" si="21"/>
        <v>1</v>
      </c>
      <c r="AX43" s="80" t="s">
        <v>217</v>
      </c>
      <c r="BD43" s="80" t="s">
        <v>217</v>
      </c>
      <c r="BE43" s="80" t="s">
        <v>217</v>
      </c>
      <c r="BL43" s="80" t="s">
        <v>217</v>
      </c>
      <c r="BN43" s="80" t="s">
        <v>217</v>
      </c>
      <c r="BO43" s="218" t="str">
        <f>if(and(BM43="x",BN43="x"), "x", "")</f>
        <v/>
      </c>
      <c r="BP43" s="61">
        <f t="shared" si="33"/>
        <v>2</v>
      </c>
      <c r="BQ43" s="80" t="s">
        <v>217</v>
      </c>
      <c r="BU43" s="80" t="s">
        <v>217</v>
      </c>
      <c r="CB43" s="80" t="s">
        <v>217</v>
      </c>
      <c r="CJ43" s="80" t="s">
        <v>217</v>
      </c>
      <c r="CM43" s="61">
        <f t="shared" si="22"/>
        <v>2</v>
      </c>
      <c r="CR43" s="114" t="s">
        <v>217</v>
      </c>
      <c r="CS43" s="61">
        <f t="shared" si="23"/>
        <v>1</v>
      </c>
      <c r="CU43" s="80" t="s">
        <v>217</v>
      </c>
      <c r="CV43" s="61" t="str">
        <f t="shared" si="24"/>
        <v/>
      </c>
      <c r="CW43" s="61" t="str">
        <f t="shared" si="25"/>
        <v/>
      </c>
      <c r="CX43" s="61" t="str">
        <f t="shared" si="26"/>
        <v>FA</v>
      </c>
      <c r="CY43" s="80" t="s">
        <v>217</v>
      </c>
      <c r="CZ43" s="80" t="s">
        <v>217</v>
      </c>
      <c r="DG43" s="80" t="s">
        <v>217</v>
      </c>
      <c r="DH43" s="61" t="str">
        <f t="shared" si="27"/>
        <v/>
      </c>
      <c r="DI43" s="80" t="s">
        <v>217</v>
      </c>
      <c r="DK43" s="61" t="str">
        <f t="shared" si="38"/>
        <v/>
      </c>
      <c r="DL43" s="61" t="str">
        <f t="shared" si="39"/>
        <v/>
      </c>
      <c r="DP43" s="80" t="s">
        <v>217</v>
      </c>
      <c r="DT43" s="80" t="s">
        <v>217</v>
      </c>
      <c r="ED43" s="80">
        <v>1.0</v>
      </c>
      <c r="EE43" s="80" t="s">
        <v>759</v>
      </c>
      <c r="EF43" s="112">
        <v>8947.0</v>
      </c>
      <c r="EG43" s="80" t="s">
        <v>760</v>
      </c>
      <c r="EJ43" s="80" t="s">
        <v>217</v>
      </c>
    </row>
    <row r="44" ht="1.5" customHeight="1">
      <c r="A44" s="80" t="s">
        <v>762</v>
      </c>
      <c r="B44" s="113" t="s">
        <v>763</v>
      </c>
      <c r="C44" s="80" t="s">
        <v>210</v>
      </c>
      <c r="D44" s="80" t="s">
        <v>764</v>
      </c>
      <c r="E44" s="80" t="s">
        <v>217</v>
      </c>
      <c r="F44" s="80" t="s">
        <v>245</v>
      </c>
      <c r="G44" s="80" t="s">
        <v>211</v>
      </c>
      <c r="H44" s="61" t="str">
        <f t="shared" si="3"/>
        <v/>
      </c>
      <c r="I44" s="61" t="str">
        <f t="shared" si="4"/>
        <v/>
      </c>
      <c r="J44" s="61" t="str">
        <f t="shared" si="5"/>
        <v/>
      </c>
      <c r="K44" s="61">
        <f t="shared" si="6"/>
        <v>1</v>
      </c>
      <c r="L44" s="61" t="str">
        <f t="shared" si="7"/>
        <v/>
      </c>
      <c r="M44" s="61" t="str">
        <f t="shared" si="8"/>
        <v/>
      </c>
      <c r="N44" s="61" t="b">
        <f t="shared" si="9"/>
        <v>1</v>
      </c>
      <c r="O44" s="61" t="b">
        <f t="shared" si="35"/>
        <v>1</v>
      </c>
      <c r="P44" s="80">
        <v>1.0</v>
      </c>
      <c r="Q44" s="80">
        <v>1.0</v>
      </c>
      <c r="R44" s="80">
        <v>1.0</v>
      </c>
      <c r="S44" s="61" t="b">
        <f t="shared" si="11"/>
        <v>1</v>
      </c>
      <c r="T44" s="80">
        <v>1.0</v>
      </c>
      <c r="U44" s="80">
        <v>1.0</v>
      </c>
      <c r="V44" s="80">
        <v>1.0</v>
      </c>
      <c r="X44" s="61" t="str">
        <f t="shared" si="30"/>
        <v/>
      </c>
      <c r="Y44" s="61" t="str">
        <f t="shared" si="12"/>
        <v/>
      </c>
      <c r="Z44" s="114" t="s">
        <v>765</v>
      </c>
      <c r="AA44" s="80" t="s">
        <v>766</v>
      </c>
      <c r="AC44" s="61">
        <f>countif('Charts-SLR'!A:A,AA44)</f>
        <v>1</v>
      </c>
      <c r="AD44" s="80" t="s">
        <v>249</v>
      </c>
      <c r="AE44" s="61">
        <f t="shared" si="13"/>
        <v>0</v>
      </c>
      <c r="AF44" s="80">
        <v>2009.0</v>
      </c>
      <c r="AG44" s="80" t="s">
        <v>250</v>
      </c>
      <c r="AH44" s="61">
        <f>58+3</f>
        <v>61</v>
      </c>
      <c r="AI44" s="108">
        <f t="shared" si="14"/>
        <v>20.33333333</v>
      </c>
      <c r="AJ44" s="61" t="str">
        <f t="shared" si="15"/>
        <v/>
      </c>
      <c r="AK44" s="61">
        <f t="shared" si="16"/>
        <v>61</v>
      </c>
      <c r="AL44" s="61" t="str">
        <f t="shared" si="17"/>
        <v/>
      </c>
      <c r="AM44" s="61" t="str">
        <f t="shared" si="18"/>
        <v/>
      </c>
      <c r="AN44" s="61" t="str">
        <f t="shared" si="19"/>
        <v/>
      </c>
      <c r="AO44" s="61" t="str">
        <f t="shared" si="20"/>
        <v/>
      </c>
      <c r="AP44" s="80" t="s">
        <v>217</v>
      </c>
      <c r="AQ44" s="80" t="s">
        <v>217</v>
      </c>
      <c r="AR44" s="80" t="s">
        <v>217</v>
      </c>
      <c r="AV44" s="61">
        <f t="shared" si="21"/>
        <v>3</v>
      </c>
      <c r="AY44" s="80" t="s">
        <v>217</v>
      </c>
      <c r="BD44" s="80" t="s">
        <v>217</v>
      </c>
      <c r="BF44" s="80" t="s">
        <v>217</v>
      </c>
      <c r="BG44" s="80" t="s">
        <v>217</v>
      </c>
      <c r="BI44" s="80" t="s">
        <v>217</v>
      </c>
      <c r="BJ44" s="80" t="s">
        <v>217</v>
      </c>
      <c r="BK44" s="80" t="s">
        <v>217</v>
      </c>
      <c r="BO44" s="216" t="s">
        <v>217</v>
      </c>
      <c r="BP44" s="61">
        <f t="shared" si="33"/>
        <v>3</v>
      </c>
      <c r="BQ44" s="80" t="s">
        <v>217</v>
      </c>
      <c r="BS44" s="80" t="s">
        <v>217</v>
      </c>
      <c r="BW44" s="80" t="s">
        <v>217</v>
      </c>
      <c r="BY44" s="80" t="s">
        <v>217</v>
      </c>
      <c r="CF44" s="80" t="s">
        <v>217</v>
      </c>
      <c r="CM44" s="61">
        <f t="shared" si="22"/>
        <v>1</v>
      </c>
      <c r="CP44" s="80" t="s">
        <v>217</v>
      </c>
      <c r="CQ44" s="80" t="s">
        <v>217</v>
      </c>
      <c r="CS44" s="61">
        <f t="shared" si="23"/>
        <v>2</v>
      </c>
      <c r="CU44" s="80" t="s">
        <v>217</v>
      </c>
      <c r="CV44" s="61" t="str">
        <f t="shared" si="24"/>
        <v/>
      </c>
      <c r="CW44" s="61" t="str">
        <f t="shared" si="25"/>
        <v/>
      </c>
      <c r="CX44" s="61" t="str">
        <f t="shared" si="26"/>
        <v>FA</v>
      </c>
      <c r="DB44" s="80" t="s">
        <v>217</v>
      </c>
      <c r="DC44" s="80" t="s">
        <v>217</v>
      </c>
      <c r="DG44" s="80" t="s">
        <v>217</v>
      </c>
      <c r="DH44" s="61" t="str">
        <f t="shared" si="27"/>
        <v/>
      </c>
      <c r="DJ44" s="80" t="s">
        <v>217</v>
      </c>
      <c r="DK44" s="61" t="str">
        <f t="shared" si="38"/>
        <v/>
      </c>
      <c r="DL44" s="61" t="str">
        <f t="shared" si="39"/>
        <v/>
      </c>
      <c r="DN44" s="80" t="s">
        <v>217</v>
      </c>
      <c r="DO44" s="80" t="s">
        <v>217</v>
      </c>
      <c r="EB44" s="80" t="s">
        <v>771</v>
      </c>
      <c r="EC44" s="80" t="s">
        <v>217</v>
      </c>
      <c r="ED44" s="80">
        <v>6.0</v>
      </c>
      <c r="EE44" s="80" t="s">
        <v>772</v>
      </c>
      <c r="EF44" s="112">
        <v>33580.0</v>
      </c>
      <c r="EG44" s="80" t="s">
        <v>773</v>
      </c>
      <c r="EI44" s="80" t="s">
        <v>217</v>
      </c>
      <c r="EJ44" s="80" t="s">
        <v>217</v>
      </c>
    </row>
    <row r="45" ht="9.75" customHeight="1">
      <c r="A45" s="80" t="s">
        <v>809</v>
      </c>
      <c r="B45" s="113" t="s">
        <v>810</v>
      </c>
      <c r="C45" s="80" t="s">
        <v>245</v>
      </c>
      <c r="D45" s="80" t="s">
        <v>811</v>
      </c>
      <c r="E45" s="80" t="s">
        <v>217</v>
      </c>
      <c r="F45" s="80" t="s">
        <v>210</v>
      </c>
      <c r="G45" s="80" t="s">
        <v>211</v>
      </c>
      <c r="H45" s="61" t="str">
        <f t="shared" si="3"/>
        <v/>
      </c>
      <c r="I45" s="61" t="str">
        <f t="shared" si="4"/>
        <v/>
      </c>
      <c r="J45" s="61" t="str">
        <f t="shared" si="5"/>
        <v/>
      </c>
      <c r="K45" s="61" t="str">
        <f t="shared" si="6"/>
        <v/>
      </c>
      <c r="L45" s="61">
        <f t="shared" si="7"/>
        <v>1</v>
      </c>
      <c r="M45" s="61" t="str">
        <f t="shared" si="8"/>
        <v/>
      </c>
      <c r="N45" s="61" t="b">
        <f t="shared" si="9"/>
        <v>1</v>
      </c>
      <c r="O45" s="61" t="b">
        <f t="shared" si="35"/>
        <v>1</v>
      </c>
      <c r="P45" s="80">
        <v>1.0</v>
      </c>
      <c r="Q45" s="80">
        <v>1.0</v>
      </c>
      <c r="R45" s="80">
        <v>1.0</v>
      </c>
      <c r="S45" s="61" t="b">
        <f t="shared" si="11"/>
        <v>1</v>
      </c>
      <c r="T45" s="80">
        <v>1.0</v>
      </c>
      <c r="U45" s="80">
        <v>1.0</v>
      </c>
      <c r="V45" s="80">
        <v>1.0</v>
      </c>
      <c r="X45" s="61" t="str">
        <f t="shared" si="30"/>
        <v/>
      </c>
      <c r="Y45" s="61" t="str">
        <f t="shared" si="12"/>
        <v/>
      </c>
      <c r="Z45" s="114" t="s">
        <v>812</v>
      </c>
      <c r="AA45" s="80" t="s">
        <v>266</v>
      </c>
      <c r="AC45" s="61">
        <f>countif('Charts-SLR'!A:A,AA45)</f>
        <v>1</v>
      </c>
      <c r="AD45" s="80" t="s">
        <v>361</v>
      </c>
      <c r="AE45" s="61">
        <f t="shared" si="13"/>
        <v>0</v>
      </c>
      <c r="AF45" s="80">
        <v>2005.0</v>
      </c>
      <c r="AG45" s="80" t="s">
        <v>231</v>
      </c>
      <c r="AH45" s="61">
        <f>158+153</f>
        <v>311</v>
      </c>
      <c r="AI45" s="108">
        <f t="shared" si="14"/>
        <v>44.42857143</v>
      </c>
      <c r="AJ45" s="61">
        <f t="shared" si="15"/>
        <v>311</v>
      </c>
      <c r="AK45" s="61" t="str">
        <f t="shared" si="16"/>
        <v/>
      </c>
      <c r="AL45" s="61" t="str">
        <f t="shared" si="17"/>
        <v/>
      </c>
      <c r="AM45" s="61" t="str">
        <f t="shared" si="18"/>
        <v/>
      </c>
      <c r="AN45" s="61" t="str">
        <f t="shared" si="19"/>
        <v/>
      </c>
      <c r="AO45" s="61" t="str">
        <f t="shared" si="20"/>
        <v/>
      </c>
      <c r="AP45" s="80" t="s">
        <v>217</v>
      </c>
      <c r="AV45" s="61">
        <f t="shared" si="21"/>
        <v>1</v>
      </c>
      <c r="AY45" s="80" t="s">
        <v>217</v>
      </c>
      <c r="BD45" s="80" t="s">
        <v>217</v>
      </c>
      <c r="BE45" s="80" t="s">
        <v>217</v>
      </c>
      <c r="BG45" s="80" t="s">
        <v>217</v>
      </c>
      <c r="BN45" s="80" t="s">
        <v>217</v>
      </c>
      <c r="BO45" s="218" t="str">
        <f t="shared" ref="BO45:BO48" si="40">if(and(BM45="x",BN45="x"), "x", "")</f>
        <v/>
      </c>
      <c r="BP45" s="61">
        <f t="shared" si="33"/>
        <v>2</v>
      </c>
      <c r="BQ45" s="80" t="s">
        <v>217</v>
      </c>
      <c r="BS45" s="80" t="s">
        <v>217</v>
      </c>
      <c r="BT45" s="80" t="s">
        <v>217</v>
      </c>
      <c r="BX45" s="80" t="s">
        <v>217</v>
      </c>
      <c r="CE45" s="80" t="s">
        <v>217</v>
      </c>
      <c r="CM45" s="61">
        <f t="shared" si="22"/>
        <v>1</v>
      </c>
      <c r="CN45" s="80" t="s">
        <v>217</v>
      </c>
      <c r="CO45" s="80" t="s">
        <v>217</v>
      </c>
      <c r="CS45" s="61">
        <f t="shared" si="23"/>
        <v>2</v>
      </c>
      <c r="CU45" s="80" t="s">
        <v>217</v>
      </c>
      <c r="CV45" s="61" t="str">
        <f t="shared" si="24"/>
        <v/>
      </c>
      <c r="CW45" s="61" t="str">
        <f t="shared" si="25"/>
        <v/>
      </c>
      <c r="CX45" s="61" t="str">
        <f t="shared" si="26"/>
        <v>FA</v>
      </c>
      <c r="CY45" s="80" t="s">
        <v>217</v>
      </c>
      <c r="CZ45" s="80" t="s">
        <v>217</v>
      </c>
      <c r="DG45" s="80" t="s">
        <v>217</v>
      </c>
      <c r="DH45" s="61" t="str">
        <f t="shared" si="27"/>
        <v/>
      </c>
      <c r="DI45" s="80" t="s">
        <v>217</v>
      </c>
      <c r="DK45" s="61" t="str">
        <f t="shared" si="38"/>
        <v/>
      </c>
      <c r="DL45" s="61" t="str">
        <f t="shared" si="39"/>
        <v/>
      </c>
      <c r="DO45" s="80" t="s">
        <v>217</v>
      </c>
      <c r="DX45" s="80" t="s">
        <v>217</v>
      </c>
      <c r="ED45" s="80">
        <v>1.0</v>
      </c>
      <c r="EE45" s="80" t="s">
        <v>819</v>
      </c>
      <c r="EF45" s="116"/>
      <c r="EG45" s="80" t="s">
        <v>820</v>
      </c>
      <c r="EI45" s="80" t="s">
        <v>217</v>
      </c>
      <c r="EK45" s="80" t="s">
        <v>1405</v>
      </c>
    </row>
    <row r="46" ht="8.25" customHeight="1">
      <c r="A46" s="80" t="s">
        <v>822</v>
      </c>
      <c r="B46" s="113" t="s">
        <v>823</v>
      </c>
      <c r="C46" s="80" t="s">
        <v>210</v>
      </c>
      <c r="D46" s="80" t="s">
        <v>824</v>
      </c>
      <c r="E46" s="80" t="s">
        <v>217</v>
      </c>
      <c r="F46" s="80" t="s">
        <v>245</v>
      </c>
      <c r="G46" s="80" t="s">
        <v>211</v>
      </c>
      <c r="H46" s="61" t="str">
        <f t="shared" si="3"/>
        <v/>
      </c>
      <c r="I46" s="61" t="str">
        <f t="shared" si="4"/>
        <v/>
      </c>
      <c r="J46" s="61" t="str">
        <f t="shared" si="5"/>
        <v/>
      </c>
      <c r="K46" s="61">
        <f t="shared" si="6"/>
        <v>1</v>
      </c>
      <c r="L46" s="61" t="str">
        <f t="shared" si="7"/>
        <v/>
      </c>
      <c r="M46" s="61" t="str">
        <f t="shared" si="8"/>
        <v/>
      </c>
      <c r="N46" s="61" t="b">
        <f t="shared" si="9"/>
        <v>1</v>
      </c>
      <c r="O46" s="61" t="b">
        <f t="shared" si="35"/>
        <v>1</v>
      </c>
      <c r="P46" s="80">
        <v>1.0</v>
      </c>
      <c r="Q46" s="80">
        <v>1.0</v>
      </c>
      <c r="R46" s="80">
        <v>1.0</v>
      </c>
      <c r="S46" s="61" t="b">
        <f t="shared" si="11"/>
        <v>1</v>
      </c>
      <c r="T46" s="80">
        <v>1.0</v>
      </c>
      <c r="U46" s="80">
        <v>1.0</v>
      </c>
      <c r="V46" s="80">
        <v>1.0</v>
      </c>
      <c r="W46" s="80" t="s">
        <v>825</v>
      </c>
      <c r="X46" s="61" t="str">
        <f t="shared" si="30"/>
        <v/>
      </c>
      <c r="Y46" s="61" t="str">
        <f t="shared" si="12"/>
        <v/>
      </c>
      <c r="Z46" s="114" t="s">
        <v>826</v>
      </c>
      <c r="AA46" s="80" t="s">
        <v>449</v>
      </c>
      <c r="AC46" s="61">
        <f>countif('Charts-SLR'!A:A,AA46)</f>
        <v>1</v>
      </c>
      <c r="AD46" s="80" t="s">
        <v>827</v>
      </c>
      <c r="AE46" s="61">
        <f t="shared" si="13"/>
        <v>0</v>
      </c>
      <c r="AF46" s="80">
        <v>2006.0</v>
      </c>
      <c r="AG46" s="80" t="s">
        <v>250</v>
      </c>
      <c r="AH46" s="80">
        <v>19.0</v>
      </c>
      <c r="AI46" s="108">
        <f t="shared" si="14"/>
        <v>3.166666667</v>
      </c>
      <c r="AJ46" s="61" t="str">
        <f t="shared" si="15"/>
        <v/>
      </c>
      <c r="AK46" s="61">
        <f t="shared" si="16"/>
        <v>19</v>
      </c>
      <c r="AL46" s="61" t="str">
        <f t="shared" si="17"/>
        <v/>
      </c>
      <c r="AM46" s="61" t="str">
        <f t="shared" si="18"/>
        <v/>
      </c>
      <c r="AN46" s="61" t="str">
        <f t="shared" si="19"/>
        <v/>
      </c>
      <c r="AO46" s="61" t="str">
        <f t="shared" si="20"/>
        <v/>
      </c>
      <c r="AP46" s="80" t="s">
        <v>217</v>
      </c>
      <c r="AR46" s="80" t="s">
        <v>217</v>
      </c>
      <c r="AV46" s="61">
        <f t="shared" si="21"/>
        <v>2</v>
      </c>
      <c r="AW46" s="80" t="s">
        <v>217</v>
      </c>
      <c r="BF46" s="80" t="s">
        <v>217</v>
      </c>
      <c r="BK46" s="80" t="s">
        <v>217</v>
      </c>
      <c r="BO46" s="218" t="str">
        <f t="shared" si="40"/>
        <v/>
      </c>
      <c r="BP46" s="61">
        <f t="shared" si="33"/>
        <v>3</v>
      </c>
      <c r="BQ46" s="80" t="s">
        <v>217</v>
      </c>
      <c r="BS46" s="80" t="s">
        <v>217</v>
      </c>
      <c r="BV46" s="80" t="s">
        <v>217</v>
      </c>
      <c r="BW46" s="80" t="s">
        <v>217</v>
      </c>
      <c r="CH46" s="80" t="s">
        <v>217</v>
      </c>
      <c r="CM46" s="61">
        <f t="shared" si="22"/>
        <v>1</v>
      </c>
      <c r="CP46" s="80" t="s">
        <v>217</v>
      </c>
      <c r="CS46" s="61">
        <f t="shared" si="23"/>
        <v>1</v>
      </c>
      <c r="CT46" s="80" t="s">
        <v>217</v>
      </c>
      <c r="CU46" s="80" t="s">
        <v>217</v>
      </c>
      <c r="CV46" s="61" t="str">
        <f t="shared" si="24"/>
        <v>both</v>
      </c>
      <c r="CW46" s="61" t="str">
        <f t="shared" si="25"/>
        <v/>
      </c>
      <c r="CX46" s="61" t="str">
        <f t="shared" si="26"/>
        <v/>
      </c>
      <c r="DD46" s="80" t="s">
        <v>217</v>
      </c>
      <c r="DG46" s="80" t="s">
        <v>217</v>
      </c>
      <c r="DH46" s="61" t="str">
        <f t="shared" si="27"/>
        <v/>
      </c>
      <c r="DI46" s="80" t="s">
        <v>217</v>
      </c>
      <c r="DK46" s="61" t="str">
        <f t="shared" si="38"/>
        <v/>
      </c>
      <c r="DL46" s="61" t="str">
        <f t="shared" si="39"/>
        <v/>
      </c>
      <c r="DQ46" s="80" t="s">
        <v>217</v>
      </c>
      <c r="DZ46" s="80" t="s">
        <v>217</v>
      </c>
      <c r="EF46" s="116"/>
      <c r="EH46" s="80" t="s">
        <v>217</v>
      </c>
    </row>
    <row r="47" ht="3.0" customHeight="1">
      <c r="A47" s="80" t="s">
        <v>831</v>
      </c>
      <c r="B47" s="113" t="s">
        <v>832</v>
      </c>
      <c r="C47" s="80" t="s">
        <v>210</v>
      </c>
      <c r="D47" s="80" t="s">
        <v>833</v>
      </c>
      <c r="E47" s="80" t="s">
        <v>217</v>
      </c>
      <c r="F47" s="80" t="s">
        <v>209</v>
      </c>
      <c r="G47" s="80" t="s">
        <v>211</v>
      </c>
      <c r="H47" s="61" t="str">
        <f t="shared" si="3"/>
        <v/>
      </c>
      <c r="I47" s="61" t="str">
        <f t="shared" si="4"/>
        <v/>
      </c>
      <c r="J47" s="61">
        <f t="shared" si="5"/>
        <v>1</v>
      </c>
      <c r="K47" s="61" t="str">
        <f t="shared" si="6"/>
        <v/>
      </c>
      <c r="L47" s="61" t="str">
        <f t="shared" si="7"/>
        <v/>
      </c>
      <c r="M47" s="61" t="str">
        <f t="shared" si="8"/>
        <v/>
      </c>
      <c r="N47" s="61" t="b">
        <f t="shared" si="9"/>
        <v>1</v>
      </c>
      <c r="O47" s="61" t="b">
        <f t="shared" si="35"/>
        <v>1</v>
      </c>
      <c r="P47" s="80">
        <v>1.0</v>
      </c>
      <c r="Q47" s="80">
        <v>1.0</v>
      </c>
      <c r="R47" s="80">
        <v>1.0</v>
      </c>
      <c r="S47" s="61" t="b">
        <f t="shared" si="11"/>
        <v>1</v>
      </c>
      <c r="T47" s="80">
        <v>1.0</v>
      </c>
      <c r="U47" s="80">
        <v>1.0</v>
      </c>
      <c r="V47" s="80">
        <v>1.0</v>
      </c>
      <c r="X47" s="61" t="str">
        <f t="shared" si="30"/>
        <v/>
      </c>
      <c r="Y47" s="61" t="str">
        <f t="shared" si="12"/>
        <v>Kallepalli:tse01, </v>
      </c>
      <c r="Z47" s="114" t="s">
        <v>834</v>
      </c>
      <c r="AA47" s="80" t="s">
        <v>266</v>
      </c>
      <c r="AC47" s="61">
        <f>countif('Charts-SLR'!A:A,AA47)</f>
        <v>1</v>
      </c>
      <c r="AD47" s="80" t="s">
        <v>361</v>
      </c>
      <c r="AE47" s="61">
        <f t="shared" si="13"/>
        <v>0</v>
      </c>
      <c r="AF47" s="80">
        <v>2001.0</v>
      </c>
      <c r="AG47" s="80" t="s">
        <v>231</v>
      </c>
      <c r="AH47" s="80">
        <v>137.0</v>
      </c>
      <c r="AI47" s="108">
        <f t="shared" si="14"/>
        <v>12.45454545</v>
      </c>
      <c r="AJ47" s="61">
        <f t="shared" si="15"/>
        <v>137</v>
      </c>
      <c r="AK47" s="61" t="str">
        <f t="shared" si="16"/>
        <v/>
      </c>
      <c r="AL47" s="61" t="str">
        <f t="shared" si="17"/>
        <v/>
      </c>
      <c r="AM47" s="61" t="str">
        <f t="shared" si="18"/>
        <v/>
      </c>
      <c r="AN47" s="61" t="str">
        <f t="shared" si="19"/>
        <v/>
      </c>
      <c r="AO47" s="61" t="str">
        <f t="shared" si="20"/>
        <v/>
      </c>
      <c r="AP47" s="80" t="s">
        <v>217</v>
      </c>
      <c r="AR47" s="80" t="s">
        <v>217</v>
      </c>
      <c r="AV47" s="61">
        <f t="shared" si="21"/>
        <v>2</v>
      </c>
      <c r="AX47" s="80" t="s">
        <v>217</v>
      </c>
      <c r="BD47" s="80" t="s">
        <v>217</v>
      </c>
      <c r="BG47" s="80" t="s">
        <v>217</v>
      </c>
      <c r="BL47" s="80" t="s">
        <v>836</v>
      </c>
      <c r="BM47" s="80" t="s">
        <v>217</v>
      </c>
      <c r="BO47" s="218" t="str">
        <f t="shared" si="40"/>
        <v/>
      </c>
      <c r="BP47" s="61">
        <f t="shared" si="33"/>
        <v>1</v>
      </c>
      <c r="BS47" s="80" t="s">
        <v>217</v>
      </c>
      <c r="BV47" s="80" t="s">
        <v>217</v>
      </c>
      <c r="BX47" s="80" t="s">
        <v>217</v>
      </c>
      <c r="BZ47" s="80" t="s">
        <v>217</v>
      </c>
      <c r="CK47" s="80" t="s">
        <v>217</v>
      </c>
      <c r="CL47" s="80" t="s">
        <v>837</v>
      </c>
      <c r="CM47" s="61">
        <f t="shared" si="22"/>
        <v>2</v>
      </c>
      <c r="CO47" s="80" t="s">
        <v>217</v>
      </c>
      <c r="CS47" s="61">
        <f t="shared" si="23"/>
        <v>1</v>
      </c>
      <c r="CT47" s="80" t="s">
        <v>217</v>
      </c>
      <c r="CU47" s="80" t="s">
        <v>217</v>
      </c>
      <c r="CV47" s="61" t="str">
        <f t="shared" si="24"/>
        <v>both</v>
      </c>
      <c r="CW47" s="61" t="str">
        <f t="shared" si="25"/>
        <v/>
      </c>
      <c r="CX47" s="61" t="str">
        <f t="shared" si="26"/>
        <v/>
      </c>
      <c r="DE47" s="80" t="s">
        <v>1406</v>
      </c>
      <c r="DF47" s="80" t="s">
        <v>217</v>
      </c>
      <c r="DH47" s="61" t="str">
        <f t="shared" si="27"/>
        <v/>
      </c>
      <c r="DI47" s="80" t="s">
        <v>217</v>
      </c>
      <c r="DK47" s="61" t="str">
        <f t="shared" si="38"/>
        <v/>
      </c>
      <c r="DL47" s="61" t="str">
        <f t="shared" si="39"/>
        <v/>
      </c>
      <c r="DM47" s="80" t="s">
        <v>217</v>
      </c>
      <c r="DY47" s="80" t="s">
        <v>217</v>
      </c>
      <c r="ED47" s="80">
        <v>1.0</v>
      </c>
      <c r="EE47" s="126" t="s">
        <v>843</v>
      </c>
      <c r="EF47" s="116"/>
      <c r="EJ47" s="80" t="s">
        <v>217</v>
      </c>
    </row>
    <row r="48" ht="1.5" customHeight="1">
      <c r="A48" s="80" t="s">
        <v>845</v>
      </c>
      <c r="B48" s="113" t="s">
        <v>846</v>
      </c>
      <c r="C48" s="80" t="s">
        <v>209</v>
      </c>
      <c r="D48" s="80" t="s">
        <v>847</v>
      </c>
      <c r="E48" s="80" t="s">
        <v>217</v>
      </c>
      <c r="F48" s="80" t="s">
        <v>210</v>
      </c>
      <c r="G48" s="80" t="s">
        <v>211</v>
      </c>
      <c r="H48" s="61">
        <f t="shared" si="3"/>
        <v>1</v>
      </c>
      <c r="I48" s="61" t="str">
        <f t="shared" si="4"/>
        <v/>
      </c>
      <c r="J48" s="61" t="str">
        <f t="shared" si="5"/>
        <v/>
      </c>
      <c r="K48" s="61" t="str">
        <f t="shared" si="6"/>
        <v/>
      </c>
      <c r="L48" s="61" t="str">
        <f t="shared" si="7"/>
        <v/>
      </c>
      <c r="M48" s="61" t="str">
        <f t="shared" si="8"/>
        <v/>
      </c>
      <c r="N48" s="61" t="b">
        <f t="shared" si="9"/>
        <v>1</v>
      </c>
      <c r="O48" s="61" t="b">
        <f t="shared" si="35"/>
        <v>1</v>
      </c>
      <c r="P48" s="80">
        <v>1.0</v>
      </c>
      <c r="Q48" s="80">
        <v>1.0</v>
      </c>
      <c r="R48" s="80">
        <v>1.0</v>
      </c>
      <c r="S48" s="61" t="b">
        <f t="shared" si="11"/>
        <v>1</v>
      </c>
      <c r="T48" s="80">
        <v>1.0</v>
      </c>
      <c r="U48" s="80">
        <v>1.0</v>
      </c>
      <c r="V48" s="80">
        <v>1.0</v>
      </c>
      <c r="X48" s="61" t="str">
        <f t="shared" si="30"/>
        <v/>
      </c>
      <c r="Y48" s="61" t="str">
        <f t="shared" si="12"/>
        <v>Koopman:padl08, </v>
      </c>
      <c r="Z48" s="114" t="s">
        <v>848</v>
      </c>
      <c r="AA48" s="80" t="s">
        <v>766</v>
      </c>
      <c r="AC48" s="61">
        <f>countif('Charts-SLR'!A:A,AA48)</f>
        <v>1</v>
      </c>
      <c r="AD48" s="80" t="s">
        <v>849</v>
      </c>
      <c r="AE48" s="61">
        <f t="shared" si="13"/>
        <v>0</v>
      </c>
      <c r="AF48" s="80">
        <v>2008.0</v>
      </c>
      <c r="AG48" s="80" t="s">
        <v>268</v>
      </c>
      <c r="AH48" s="80">
        <v>1.0</v>
      </c>
      <c r="AI48" s="108">
        <f t="shared" si="14"/>
        <v>0.25</v>
      </c>
      <c r="AJ48" s="61" t="str">
        <f t="shared" si="15"/>
        <v/>
      </c>
      <c r="AK48" s="61" t="str">
        <f t="shared" si="16"/>
        <v/>
      </c>
      <c r="AL48" s="61" t="str">
        <f t="shared" si="17"/>
        <v/>
      </c>
      <c r="AM48" s="61" t="str">
        <f t="shared" si="18"/>
        <v/>
      </c>
      <c r="AN48" s="61">
        <f t="shared" si="19"/>
        <v>1</v>
      </c>
      <c r="AO48" s="61" t="str">
        <f t="shared" si="20"/>
        <v/>
      </c>
      <c r="AP48" s="80" t="s">
        <v>217</v>
      </c>
      <c r="AR48" s="80" t="s">
        <v>217</v>
      </c>
      <c r="AV48" s="61">
        <f t="shared" si="21"/>
        <v>2</v>
      </c>
      <c r="AW48" s="80" t="s">
        <v>217</v>
      </c>
      <c r="BD48" s="80" t="s">
        <v>217</v>
      </c>
      <c r="BG48" s="80" t="s">
        <v>217</v>
      </c>
      <c r="BK48" s="80" t="s">
        <v>217</v>
      </c>
      <c r="BM48" s="80" t="s">
        <v>217</v>
      </c>
      <c r="BO48" s="218" t="str">
        <f t="shared" si="40"/>
        <v/>
      </c>
      <c r="BP48" s="61">
        <f t="shared" si="33"/>
        <v>1</v>
      </c>
      <c r="BS48" s="80" t="s">
        <v>217</v>
      </c>
      <c r="BV48" s="80" t="s">
        <v>217</v>
      </c>
      <c r="BZ48" s="80" t="s">
        <v>217</v>
      </c>
      <c r="CB48" s="80" t="s">
        <v>217</v>
      </c>
      <c r="CK48" s="80" t="s">
        <v>217</v>
      </c>
      <c r="CM48" s="61">
        <f t="shared" si="22"/>
        <v>2</v>
      </c>
      <c r="CN48" s="80" t="s">
        <v>217</v>
      </c>
      <c r="CP48" s="80" t="s">
        <v>217</v>
      </c>
      <c r="CS48" s="61">
        <f t="shared" si="23"/>
        <v>2</v>
      </c>
      <c r="CU48" s="80" t="s">
        <v>217</v>
      </c>
      <c r="CV48" s="61" t="str">
        <f t="shared" si="24"/>
        <v/>
      </c>
      <c r="CW48" s="61" t="str">
        <f t="shared" si="25"/>
        <v/>
      </c>
      <c r="CX48" s="61" t="str">
        <f t="shared" si="26"/>
        <v>FA</v>
      </c>
      <c r="DA48" s="80" t="s">
        <v>217</v>
      </c>
      <c r="DF48" s="80" t="s">
        <v>217</v>
      </c>
      <c r="DH48" s="61" t="str">
        <f t="shared" si="27"/>
        <v/>
      </c>
      <c r="DI48" s="80" t="s">
        <v>217</v>
      </c>
      <c r="DK48" s="61" t="str">
        <f t="shared" si="38"/>
        <v/>
      </c>
      <c r="DL48" s="61" t="str">
        <f t="shared" si="39"/>
        <v/>
      </c>
      <c r="DM48" s="80" t="s">
        <v>217</v>
      </c>
      <c r="DQ48" s="80" t="s">
        <v>217</v>
      </c>
      <c r="DY48" s="80" t="s">
        <v>217</v>
      </c>
      <c r="ED48" s="80">
        <v>2.0</v>
      </c>
      <c r="EE48" s="80" t="s">
        <v>850</v>
      </c>
      <c r="EF48" s="116"/>
      <c r="EH48" s="80" t="s">
        <v>217</v>
      </c>
    </row>
    <row r="49" ht="9.0" customHeight="1">
      <c r="A49" s="80" t="s">
        <v>852</v>
      </c>
      <c r="B49" s="113" t="s">
        <v>853</v>
      </c>
      <c r="C49" s="80" t="s">
        <v>210</v>
      </c>
      <c r="D49" s="80" t="s">
        <v>854</v>
      </c>
      <c r="E49" s="80" t="s">
        <v>217</v>
      </c>
      <c r="F49" s="80" t="s">
        <v>209</v>
      </c>
      <c r="G49" s="80" t="s">
        <v>211</v>
      </c>
      <c r="H49" s="61" t="str">
        <f t="shared" si="3"/>
        <v/>
      </c>
      <c r="I49" s="61" t="str">
        <f t="shared" si="4"/>
        <v/>
      </c>
      <c r="J49" s="61">
        <f t="shared" si="5"/>
        <v>1</v>
      </c>
      <c r="K49" s="61" t="str">
        <f t="shared" si="6"/>
        <v/>
      </c>
      <c r="L49" s="61" t="str">
        <f t="shared" si="7"/>
        <v/>
      </c>
      <c r="M49" s="61" t="str">
        <f t="shared" si="8"/>
        <v/>
      </c>
      <c r="N49" s="61" t="b">
        <f t="shared" si="9"/>
        <v>1</v>
      </c>
      <c r="O49" s="61" t="b">
        <f t="shared" si="35"/>
        <v>1</v>
      </c>
      <c r="P49" s="80">
        <v>1.0</v>
      </c>
      <c r="Q49" s="80">
        <v>1.0</v>
      </c>
      <c r="R49" s="80">
        <v>1.0</v>
      </c>
      <c r="S49" s="61" t="b">
        <f t="shared" si="11"/>
        <v>1</v>
      </c>
      <c r="T49" s="80">
        <v>1.0</v>
      </c>
      <c r="U49" s="80">
        <v>1.0</v>
      </c>
      <c r="V49" s="80">
        <v>1.0</v>
      </c>
      <c r="X49" s="61" t="str">
        <f t="shared" si="30"/>
        <v/>
      </c>
      <c r="Y49" s="61" t="str">
        <f t="shared" si="12"/>
        <v/>
      </c>
      <c r="Z49" s="114" t="s">
        <v>855</v>
      </c>
      <c r="AA49" s="80" t="s">
        <v>856</v>
      </c>
      <c r="AB49" s="80" t="s">
        <v>217</v>
      </c>
      <c r="AC49" s="80">
        <v>1.0</v>
      </c>
      <c r="AD49" s="80" t="s">
        <v>857</v>
      </c>
      <c r="AE49" s="61">
        <f t="shared" si="13"/>
        <v>0</v>
      </c>
      <c r="AF49" s="80">
        <v>2009.0</v>
      </c>
      <c r="AG49" s="80" t="s">
        <v>250</v>
      </c>
      <c r="AH49" s="80">
        <v>8.0</v>
      </c>
      <c r="AI49" s="108">
        <f t="shared" si="14"/>
        <v>2.666666667</v>
      </c>
      <c r="AJ49" s="61" t="str">
        <f t="shared" si="15"/>
        <v/>
      </c>
      <c r="AK49" s="61">
        <f t="shared" si="16"/>
        <v>8</v>
      </c>
      <c r="AL49" s="61" t="str">
        <f t="shared" si="17"/>
        <v/>
      </c>
      <c r="AM49" s="61" t="str">
        <f t="shared" si="18"/>
        <v/>
      </c>
      <c r="AN49" s="61" t="str">
        <f t="shared" si="19"/>
        <v/>
      </c>
      <c r="AO49" s="61" t="str">
        <f t="shared" si="20"/>
        <v/>
      </c>
      <c r="AP49" s="80" t="s">
        <v>217</v>
      </c>
      <c r="AR49" s="80" t="s">
        <v>217</v>
      </c>
      <c r="AV49" s="61">
        <f t="shared" si="21"/>
        <v>2</v>
      </c>
      <c r="AW49" s="80" t="s">
        <v>217</v>
      </c>
      <c r="BD49" s="80" t="s">
        <v>217</v>
      </c>
      <c r="BI49" s="80" t="s">
        <v>217</v>
      </c>
      <c r="BJ49" s="80" t="s">
        <v>217</v>
      </c>
      <c r="BK49" s="80" t="s">
        <v>217</v>
      </c>
      <c r="BO49" s="216" t="s">
        <v>217</v>
      </c>
      <c r="BP49" s="61">
        <f t="shared" si="33"/>
        <v>3</v>
      </c>
      <c r="BQ49" s="80" t="s">
        <v>217</v>
      </c>
      <c r="BR49" s="80" t="s">
        <v>217</v>
      </c>
      <c r="BS49" s="80" t="s">
        <v>217</v>
      </c>
      <c r="BV49" s="80" t="s">
        <v>217</v>
      </c>
      <c r="CK49" s="80" t="s">
        <v>217</v>
      </c>
      <c r="CM49" s="61">
        <f t="shared" si="22"/>
        <v>1</v>
      </c>
      <c r="CP49" s="80" t="s">
        <v>217</v>
      </c>
      <c r="CQ49" s="80" t="s">
        <v>217</v>
      </c>
      <c r="CS49" s="61">
        <f t="shared" si="23"/>
        <v>2</v>
      </c>
      <c r="CT49" s="80" t="s">
        <v>217</v>
      </c>
      <c r="CU49" s="80" t="s">
        <v>217</v>
      </c>
      <c r="CV49" s="61" t="str">
        <f t="shared" si="24"/>
        <v>both</v>
      </c>
      <c r="CW49" s="61" t="str">
        <f t="shared" si="25"/>
        <v/>
      </c>
      <c r="CX49" s="61" t="str">
        <f t="shared" si="26"/>
        <v/>
      </c>
      <c r="DC49" s="80" t="s">
        <v>217</v>
      </c>
      <c r="DG49" s="80" t="s">
        <v>217</v>
      </c>
      <c r="DH49" s="61" t="str">
        <f t="shared" si="27"/>
        <v/>
      </c>
      <c r="DI49" s="80" t="s">
        <v>217</v>
      </c>
      <c r="DK49" s="61" t="str">
        <f t="shared" si="38"/>
        <v/>
      </c>
      <c r="DL49" s="61" t="str">
        <f t="shared" si="39"/>
        <v/>
      </c>
      <c r="DO49" s="80" t="s">
        <v>217</v>
      </c>
      <c r="DZ49" s="80" t="s">
        <v>217</v>
      </c>
      <c r="ED49" s="80">
        <v>1.0</v>
      </c>
      <c r="EE49" s="80" t="s">
        <v>858</v>
      </c>
      <c r="EF49" s="116"/>
      <c r="EJ49" s="80" t="s">
        <v>217</v>
      </c>
    </row>
    <row r="50" ht="3.0" customHeight="1">
      <c r="A50" s="80" t="s">
        <v>860</v>
      </c>
      <c r="B50" s="113" t="s">
        <v>861</v>
      </c>
      <c r="C50" s="80" t="s">
        <v>245</v>
      </c>
      <c r="D50" s="80" t="s">
        <v>862</v>
      </c>
      <c r="E50" s="80" t="s">
        <v>217</v>
      </c>
      <c r="F50" s="80" t="s">
        <v>210</v>
      </c>
      <c r="G50" s="80" t="s">
        <v>211</v>
      </c>
      <c r="H50" s="61" t="str">
        <f t="shared" si="3"/>
        <v/>
      </c>
      <c r="I50" s="61" t="str">
        <f t="shared" si="4"/>
        <v/>
      </c>
      <c r="J50" s="61" t="str">
        <f t="shared" si="5"/>
        <v/>
      </c>
      <c r="K50" s="61" t="str">
        <f t="shared" si="6"/>
        <v/>
      </c>
      <c r="L50" s="61">
        <f t="shared" si="7"/>
        <v>1</v>
      </c>
      <c r="M50" s="61" t="str">
        <f t="shared" si="8"/>
        <v/>
      </c>
      <c r="N50" s="61" t="b">
        <f t="shared" si="9"/>
        <v>1</v>
      </c>
      <c r="O50" s="61" t="b">
        <f t="shared" si="35"/>
        <v>1</v>
      </c>
      <c r="P50" s="80">
        <v>1.0</v>
      </c>
      <c r="Q50" s="80">
        <v>1.0</v>
      </c>
      <c r="R50" s="80">
        <v>1.0</v>
      </c>
      <c r="S50" s="61" t="b">
        <f t="shared" si="11"/>
        <v>1</v>
      </c>
      <c r="T50" s="80">
        <v>1.0</v>
      </c>
      <c r="U50" s="80">
        <v>1.0</v>
      </c>
      <c r="V50" s="80">
        <v>1.0</v>
      </c>
      <c r="X50" s="61" t="str">
        <f t="shared" si="30"/>
        <v/>
      </c>
      <c r="Y50" s="61" t="str">
        <f t="shared" si="12"/>
        <v>Dobolyi:issta10, </v>
      </c>
      <c r="Z50" s="114" t="s">
        <v>863</v>
      </c>
      <c r="AA50" s="80" t="s">
        <v>266</v>
      </c>
      <c r="AC50" s="61">
        <f>countif('Charts-SLR'!A:A,AA50)</f>
        <v>1</v>
      </c>
      <c r="AD50" s="80" t="s">
        <v>677</v>
      </c>
      <c r="AE50" s="61">
        <f t="shared" si="13"/>
        <v>0</v>
      </c>
      <c r="AF50" s="80">
        <v>2010.0</v>
      </c>
      <c r="AG50" s="80" t="s">
        <v>268</v>
      </c>
      <c r="AH50" s="80">
        <v>3.0</v>
      </c>
      <c r="AI50" s="108">
        <f t="shared" si="14"/>
        <v>1.5</v>
      </c>
      <c r="AJ50" s="61" t="str">
        <f t="shared" si="15"/>
        <v/>
      </c>
      <c r="AK50" s="61" t="str">
        <f t="shared" si="16"/>
        <v/>
      </c>
      <c r="AL50" s="61" t="str">
        <f t="shared" si="17"/>
        <v/>
      </c>
      <c r="AM50" s="61" t="str">
        <f t="shared" si="18"/>
        <v/>
      </c>
      <c r="AN50" s="61">
        <f t="shared" si="19"/>
        <v>3</v>
      </c>
      <c r="AO50" s="61" t="str">
        <f t="shared" si="20"/>
        <v>Dobolyi:issta10, </v>
      </c>
      <c r="AU50" s="80" t="s">
        <v>217</v>
      </c>
      <c r="AV50" s="61">
        <f t="shared" si="21"/>
        <v>1</v>
      </c>
      <c r="AY50" s="80" t="s">
        <v>217</v>
      </c>
      <c r="BD50" s="80" t="s">
        <v>217</v>
      </c>
      <c r="BL50" s="80" t="s">
        <v>864</v>
      </c>
      <c r="BM50" s="80" t="s">
        <v>217</v>
      </c>
      <c r="BO50" s="218" t="str">
        <f t="shared" ref="BO50:BO60" si="41">if(and(BM50="x",BN50="x"), "x", "")</f>
        <v/>
      </c>
      <c r="BP50" s="61">
        <f t="shared" si="33"/>
        <v>1</v>
      </c>
      <c r="CH50" s="80" t="s">
        <v>217</v>
      </c>
      <c r="CM50" s="61">
        <f t="shared" si="22"/>
        <v>1</v>
      </c>
      <c r="CR50" s="114" t="s">
        <v>217</v>
      </c>
      <c r="CS50" s="61">
        <f t="shared" si="23"/>
        <v>1</v>
      </c>
      <c r="CV50" s="61" t="str">
        <f t="shared" si="24"/>
        <v/>
      </c>
      <c r="CW50" s="61" t="str">
        <f t="shared" si="25"/>
        <v/>
      </c>
      <c r="CX50" s="61" t="str">
        <f t="shared" si="26"/>
        <v/>
      </c>
      <c r="DC50" s="80" t="s">
        <v>217</v>
      </c>
      <c r="DG50" s="80" t="s">
        <v>217</v>
      </c>
      <c r="DH50" s="61" t="str">
        <f t="shared" si="27"/>
        <v/>
      </c>
      <c r="DJ50" s="80" t="s">
        <v>217</v>
      </c>
      <c r="DK50" s="61" t="str">
        <f t="shared" si="38"/>
        <v/>
      </c>
      <c r="DL50" s="61" t="str">
        <f t="shared" si="39"/>
        <v/>
      </c>
      <c r="DM50" s="80" t="s">
        <v>217</v>
      </c>
      <c r="DY50" s="80" t="s">
        <v>217</v>
      </c>
      <c r="ED50" s="80">
        <v>17.0</v>
      </c>
      <c r="EE50" s="124" t="s">
        <v>482</v>
      </c>
      <c r="EF50" s="116"/>
      <c r="EG50" s="80" t="s">
        <v>869</v>
      </c>
      <c r="EI50" s="80" t="s">
        <v>217</v>
      </c>
    </row>
    <row r="51" ht="9.0" customHeight="1">
      <c r="A51" s="80" t="s">
        <v>871</v>
      </c>
      <c r="B51" s="113" t="s">
        <v>872</v>
      </c>
      <c r="C51" s="80" t="s">
        <v>209</v>
      </c>
      <c r="D51" s="80" t="s">
        <v>873</v>
      </c>
      <c r="E51" s="80" t="s">
        <v>217</v>
      </c>
      <c r="F51" s="80" t="s">
        <v>210</v>
      </c>
      <c r="G51" s="80" t="s">
        <v>211</v>
      </c>
      <c r="H51" s="61">
        <f t="shared" si="3"/>
        <v>1</v>
      </c>
      <c r="I51" s="61" t="str">
        <f t="shared" si="4"/>
        <v/>
      </c>
      <c r="J51" s="61" t="str">
        <f t="shared" si="5"/>
        <v/>
      </c>
      <c r="K51" s="61" t="str">
        <f t="shared" si="6"/>
        <v/>
      </c>
      <c r="L51" s="61" t="str">
        <f t="shared" si="7"/>
        <v/>
      </c>
      <c r="M51" s="61" t="str">
        <f t="shared" si="8"/>
        <v/>
      </c>
      <c r="N51" s="61" t="b">
        <f t="shared" si="9"/>
        <v>1</v>
      </c>
      <c r="O51" s="61" t="b">
        <f t="shared" si="35"/>
        <v>1</v>
      </c>
      <c r="P51" s="80">
        <v>1.0</v>
      </c>
      <c r="Q51" s="80">
        <v>1.0</v>
      </c>
      <c r="R51" s="80">
        <v>1.0</v>
      </c>
      <c r="S51" s="61" t="b">
        <f t="shared" si="11"/>
        <v>1</v>
      </c>
      <c r="T51" s="80">
        <v>1.0</v>
      </c>
      <c r="U51" s="80">
        <v>1.0</v>
      </c>
      <c r="V51" s="80">
        <v>1.0</v>
      </c>
      <c r="X51" s="61" t="str">
        <f t="shared" si="30"/>
        <v/>
      </c>
      <c r="Y51" s="61" t="str">
        <f t="shared" si="12"/>
        <v/>
      </c>
      <c r="Z51" s="114" t="s">
        <v>874</v>
      </c>
      <c r="AA51" s="80" t="s">
        <v>266</v>
      </c>
      <c r="AC51" s="61">
        <f>countif('Charts-SLR'!A:A,AA51)</f>
        <v>1</v>
      </c>
      <c r="AD51" s="80" t="s">
        <v>875</v>
      </c>
      <c r="AE51" s="61">
        <f t="shared" si="13"/>
        <v>0</v>
      </c>
      <c r="AF51" s="80">
        <v>2010.0</v>
      </c>
      <c r="AG51" s="80" t="s">
        <v>231</v>
      </c>
      <c r="AH51" s="80">
        <v>5.0</v>
      </c>
      <c r="AI51" s="108">
        <f t="shared" si="14"/>
        <v>2.5</v>
      </c>
      <c r="AJ51" s="61">
        <f t="shared" si="15"/>
        <v>5</v>
      </c>
      <c r="AK51" s="61" t="str">
        <f t="shared" si="16"/>
        <v/>
      </c>
      <c r="AL51" s="61" t="str">
        <f t="shared" si="17"/>
        <v/>
      </c>
      <c r="AM51" s="61" t="str">
        <f t="shared" si="18"/>
        <v/>
      </c>
      <c r="AN51" s="61" t="str">
        <f t="shared" si="19"/>
        <v/>
      </c>
      <c r="AO51" s="61" t="str">
        <f t="shared" si="20"/>
        <v/>
      </c>
      <c r="AP51" s="80" t="s">
        <v>217</v>
      </c>
      <c r="AR51" s="80" t="s">
        <v>217</v>
      </c>
      <c r="AS51" s="80" t="s">
        <v>217</v>
      </c>
      <c r="AV51" s="61">
        <f t="shared" si="21"/>
        <v>3</v>
      </c>
      <c r="AW51" s="80" t="s">
        <v>217</v>
      </c>
      <c r="BD51" s="80" t="s">
        <v>217</v>
      </c>
      <c r="BG51" s="80" t="s">
        <v>217</v>
      </c>
      <c r="BI51" s="80" t="s">
        <v>217</v>
      </c>
      <c r="BN51" s="80" t="s">
        <v>217</v>
      </c>
      <c r="BO51" s="218" t="str">
        <f t="shared" si="41"/>
        <v/>
      </c>
      <c r="BP51" s="61">
        <f t="shared" si="33"/>
        <v>2</v>
      </c>
      <c r="BR51" s="80" t="s">
        <v>217</v>
      </c>
      <c r="BS51" s="80" t="s">
        <v>217</v>
      </c>
      <c r="BT51" s="80" t="s">
        <v>217</v>
      </c>
      <c r="BY51" s="80" t="s">
        <v>217</v>
      </c>
      <c r="CD51" s="80" t="s">
        <v>217</v>
      </c>
      <c r="CM51" s="61">
        <f t="shared" si="22"/>
        <v>1</v>
      </c>
      <c r="CN51" s="80" t="s">
        <v>217</v>
      </c>
      <c r="CS51" s="61">
        <f t="shared" si="23"/>
        <v>1</v>
      </c>
      <c r="CT51" s="80" t="s">
        <v>217</v>
      </c>
      <c r="CU51" s="80" t="s">
        <v>217</v>
      </c>
      <c r="CV51" s="61" t="str">
        <f t="shared" si="24"/>
        <v>both</v>
      </c>
      <c r="CW51" s="61" t="str">
        <f t="shared" si="25"/>
        <v/>
      </c>
      <c r="CX51" s="61" t="str">
        <f t="shared" si="26"/>
        <v/>
      </c>
      <c r="CY51" s="80" t="s">
        <v>217</v>
      </c>
      <c r="DA51" s="80" t="s">
        <v>217</v>
      </c>
      <c r="DC51" s="80" t="s">
        <v>217</v>
      </c>
      <c r="DG51" s="80" t="s">
        <v>217</v>
      </c>
      <c r="DH51" s="61" t="str">
        <f t="shared" si="27"/>
        <v/>
      </c>
      <c r="DI51" s="80" t="s">
        <v>217</v>
      </c>
      <c r="DK51" s="61" t="str">
        <f t="shared" si="38"/>
        <v/>
      </c>
      <c r="DL51" s="61" t="str">
        <f t="shared" si="39"/>
        <v/>
      </c>
      <c r="DM51" s="80" t="s">
        <v>217</v>
      </c>
      <c r="DT51" s="80" t="s">
        <v>217</v>
      </c>
      <c r="EF51" s="116"/>
      <c r="EG51" s="80" t="s">
        <v>876</v>
      </c>
      <c r="EH51" s="80" t="s">
        <v>217</v>
      </c>
    </row>
    <row r="52" ht="9.0" customHeight="1">
      <c r="A52" s="80" t="s">
        <v>878</v>
      </c>
      <c r="B52" s="113" t="s">
        <v>1407</v>
      </c>
      <c r="C52" s="80" t="s">
        <v>245</v>
      </c>
      <c r="D52" s="80" t="s">
        <v>880</v>
      </c>
      <c r="E52" s="80" t="s">
        <v>217</v>
      </c>
      <c r="F52" s="80" t="s">
        <v>209</v>
      </c>
      <c r="G52" s="80" t="s">
        <v>211</v>
      </c>
      <c r="H52" s="61" t="str">
        <f t="shared" si="3"/>
        <v/>
      </c>
      <c r="I52" s="61" t="str">
        <f t="shared" si="4"/>
        <v/>
      </c>
      <c r="J52" s="61" t="str">
        <f t="shared" si="5"/>
        <v/>
      </c>
      <c r="K52" s="61" t="str">
        <f t="shared" si="6"/>
        <v/>
      </c>
      <c r="L52" s="61" t="str">
        <f t="shared" si="7"/>
        <v/>
      </c>
      <c r="M52" s="61">
        <f t="shared" si="8"/>
        <v>1</v>
      </c>
      <c r="P52" s="80">
        <v>1.0</v>
      </c>
      <c r="T52" s="80">
        <v>1.0</v>
      </c>
      <c r="X52" s="61" t="str">
        <f t="shared" si="30"/>
        <v/>
      </c>
      <c r="Y52" s="61" t="str">
        <f t="shared" si="12"/>
        <v>Jensen:esec11, </v>
      </c>
      <c r="Z52" s="114" t="s">
        <v>882</v>
      </c>
      <c r="AA52" s="80" t="s">
        <v>883</v>
      </c>
      <c r="AC52" s="61">
        <f>countif('Charts-SLR'!A:A,AA52)</f>
        <v>1</v>
      </c>
      <c r="AD52" s="80" t="s">
        <v>400</v>
      </c>
      <c r="AE52" s="61">
        <f t="shared" si="13"/>
        <v>0</v>
      </c>
      <c r="AF52" s="80">
        <v>2011.0</v>
      </c>
      <c r="AG52" s="80" t="s">
        <v>250</v>
      </c>
      <c r="AH52" s="80">
        <v>2.0</v>
      </c>
      <c r="AI52" s="108">
        <f t="shared" si="14"/>
        <v>2</v>
      </c>
      <c r="AJ52" s="61" t="str">
        <f t="shared" si="15"/>
        <v/>
      </c>
      <c r="AK52" s="61">
        <f t="shared" si="16"/>
        <v>2</v>
      </c>
      <c r="AL52" s="61" t="str">
        <f t="shared" si="17"/>
        <v/>
      </c>
      <c r="AM52" s="61" t="str">
        <f t="shared" si="18"/>
        <v/>
      </c>
      <c r="AN52" s="61" t="str">
        <f t="shared" si="19"/>
        <v/>
      </c>
      <c r="AO52" s="61" t="str">
        <f t="shared" si="20"/>
        <v/>
      </c>
      <c r="AQ52" s="80" t="s">
        <v>217</v>
      </c>
      <c r="AR52" s="80" t="s">
        <v>217</v>
      </c>
      <c r="AV52" s="61">
        <f t="shared" si="21"/>
        <v>2</v>
      </c>
      <c r="AX52" s="80" t="s">
        <v>217</v>
      </c>
      <c r="BE52" s="80" t="s">
        <v>217</v>
      </c>
      <c r="BL52" s="80" t="s">
        <v>217</v>
      </c>
      <c r="BM52" s="80" t="s">
        <v>217</v>
      </c>
      <c r="BO52" s="218" t="str">
        <f t="shared" si="41"/>
        <v/>
      </c>
      <c r="BP52" s="61">
        <f t="shared" si="33"/>
        <v>1</v>
      </c>
      <c r="BQ52" s="80" t="s">
        <v>217</v>
      </c>
      <c r="BT52" s="80" t="s">
        <v>217</v>
      </c>
      <c r="BV52" s="80" t="s">
        <v>217</v>
      </c>
      <c r="CD52" s="80" t="s">
        <v>217</v>
      </c>
      <c r="CK52" s="80" t="s">
        <v>217</v>
      </c>
      <c r="CM52" s="61">
        <f t="shared" si="22"/>
        <v>2</v>
      </c>
      <c r="CO52" s="80" t="s">
        <v>217</v>
      </c>
      <c r="CS52" s="61">
        <f t="shared" si="23"/>
        <v>1</v>
      </c>
      <c r="CU52" s="80" t="s">
        <v>217</v>
      </c>
      <c r="CV52" s="61" t="str">
        <f t="shared" si="24"/>
        <v/>
      </c>
      <c r="CW52" s="61" t="str">
        <f t="shared" si="25"/>
        <v/>
      </c>
      <c r="CX52" s="61" t="str">
        <f t="shared" si="26"/>
        <v>FA</v>
      </c>
      <c r="CZ52" s="80" t="s">
        <v>217</v>
      </c>
      <c r="DA52" s="80" t="s">
        <v>217</v>
      </c>
      <c r="DC52" s="80" t="s">
        <v>217</v>
      </c>
      <c r="DG52" s="80" t="s">
        <v>217</v>
      </c>
      <c r="DH52" s="61" t="str">
        <f t="shared" si="27"/>
        <v/>
      </c>
      <c r="DI52" s="80" t="s">
        <v>217</v>
      </c>
      <c r="DK52" s="61" t="str">
        <f t="shared" si="38"/>
        <v/>
      </c>
      <c r="DL52" s="61" t="str">
        <f t="shared" si="39"/>
        <v/>
      </c>
      <c r="DN52" s="80" t="s">
        <v>217</v>
      </c>
      <c r="DO52" s="80" t="s">
        <v>217</v>
      </c>
      <c r="DY52" s="80" t="s">
        <v>217</v>
      </c>
      <c r="EB52" s="80" t="s">
        <v>888</v>
      </c>
      <c r="ED52" s="80">
        <v>53.0</v>
      </c>
      <c r="EE52" s="80" t="s">
        <v>889</v>
      </c>
      <c r="EF52" s="116">
        <f>53*(100+3000)/2</f>
        <v>82150</v>
      </c>
      <c r="EG52" s="80" t="s">
        <v>890</v>
      </c>
      <c r="EH52" s="80" t="s">
        <v>217</v>
      </c>
      <c r="EI52" s="80" t="s">
        <v>217</v>
      </c>
    </row>
    <row r="53" ht="1.5" customHeight="1">
      <c r="A53" s="80" t="s">
        <v>921</v>
      </c>
      <c r="B53" s="113" t="s">
        <v>922</v>
      </c>
      <c r="C53" s="80" t="s">
        <v>245</v>
      </c>
      <c r="D53" s="80" t="s">
        <v>923</v>
      </c>
      <c r="E53" s="80" t="s">
        <v>217</v>
      </c>
      <c r="F53" s="80" t="s">
        <v>209</v>
      </c>
      <c r="G53" s="80" t="s">
        <v>211</v>
      </c>
      <c r="H53" s="61" t="str">
        <f t="shared" si="3"/>
        <v/>
      </c>
      <c r="I53" s="61" t="str">
        <f t="shared" si="4"/>
        <v/>
      </c>
      <c r="J53" s="61" t="str">
        <f t="shared" si="5"/>
        <v/>
      </c>
      <c r="K53" s="61" t="str">
        <f t="shared" si="6"/>
        <v/>
      </c>
      <c r="L53" s="61" t="str">
        <f t="shared" si="7"/>
        <v/>
      </c>
      <c r="M53" s="61">
        <f t="shared" si="8"/>
        <v>1</v>
      </c>
      <c r="N53" s="61" t="b">
        <f t="shared" ref="N53:N81" si="42">and(O53,S53)</f>
        <v>1</v>
      </c>
      <c r="O53" s="61" t="b">
        <f t="shared" ref="O53:O81" si="43">SUM(P53:R53)&gt;=2</f>
        <v>1</v>
      </c>
      <c r="P53" s="80">
        <v>1.0</v>
      </c>
      <c r="Q53" s="80">
        <v>1.0</v>
      </c>
      <c r="R53" s="80">
        <v>1.0</v>
      </c>
      <c r="S53" s="61" t="b">
        <f t="shared" ref="S53:S81" si="44">SUM(T53:V53)&gt;=2</f>
        <v>1</v>
      </c>
      <c r="T53" s="80">
        <v>1.0</v>
      </c>
      <c r="U53" s="80">
        <v>1.0</v>
      </c>
      <c r="V53" s="80">
        <v>1.0</v>
      </c>
      <c r="W53" s="115" t="s">
        <v>924</v>
      </c>
      <c r="X53" s="61" t="str">
        <f t="shared" si="30"/>
        <v/>
      </c>
      <c r="Y53" s="61" t="str">
        <f t="shared" si="12"/>
        <v/>
      </c>
      <c r="Z53" s="114" t="s">
        <v>925</v>
      </c>
      <c r="AA53" s="80" t="s">
        <v>266</v>
      </c>
      <c r="AC53" s="61">
        <f>countif('Charts-SLR'!A:A,AA53)</f>
        <v>1</v>
      </c>
      <c r="AD53" s="80" t="s">
        <v>249</v>
      </c>
      <c r="AE53" s="61">
        <f t="shared" si="13"/>
        <v>0</v>
      </c>
      <c r="AF53" s="80">
        <v>2010.0</v>
      </c>
      <c r="AG53" s="80" t="s">
        <v>250</v>
      </c>
      <c r="AH53" s="80">
        <v>10.0</v>
      </c>
      <c r="AI53" s="108">
        <f t="shared" si="14"/>
        <v>5</v>
      </c>
      <c r="AJ53" s="61" t="str">
        <f t="shared" si="15"/>
        <v/>
      </c>
      <c r="AK53" s="61">
        <f t="shared" si="16"/>
        <v>10</v>
      </c>
      <c r="AL53" s="61" t="str">
        <f t="shared" si="17"/>
        <v/>
      </c>
      <c r="AM53" s="61" t="str">
        <f t="shared" si="18"/>
        <v/>
      </c>
      <c r="AN53" s="61" t="str">
        <f t="shared" si="19"/>
        <v/>
      </c>
      <c r="AO53" s="61" t="str">
        <f t="shared" si="20"/>
        <v/>
      </c>
      <c r="AP53" s="80" t="s">
        <v>217</v>
      </c>
      <c r="AQ53" s="80" t="s">
        <v>217</v>
      </c>
      <c r="AV53" s="61">
        <f t="shared" si="21"/>
        <v>2</v>
      </c>
      <c r="AX53" s="80" t="s">
        <v>217</v>
      </c>
      <c r="BF53" s="80" t="s">
        <v>217</v>
      </c>
      <c r="BG53" s="80" t="s">
        <v>217</v>
      </c>
      <c r="BJ53" s="80" t="s">
        <v>217</v>
      </c>
      <c r="BL53" s="80" t="s">
        <v>926</v>
      </c>
      <c r="BN53" s="80" t="s">
        <v>217</v>
      </c>
      <c r="BO53" s="218" t="str">
        <f t="shared" si="41"/>
        <v/>
      </c>
      <c r="BP53" s="61">
        <f t="shared" si="33"/>
        <v>2</v>
      </c>
      <c r="BQ53" s="80" t="s">
        <v>217</v>
      </c>
      <c r="BT53" s="80" t="s">
        <v>217</v>
      </c>
      <c r="CA53" s="80" t="s">
        <v>217</v>
      </c>
      <c r="CG53" s="80" t="s">
        <v>217</v>
      </c>
      <c r="CM53" s="61">
        <f t="shared" si="22"/>
        <v>1</v>
      </c>
      <c r="CN53" s="80" t="s">
        <v>217</v>
      </c>
      <c r="CS53" s="61">
        <f t="shared" si="23"/>
        <v>1</v>
      </c>
      <c r="CU53" s="80" t="s">
        <v>217</v>
      </c>
      <c r="CV53" s="61" t="str">
        <f t="shared" si="24"/>
        <v/>
      </c>
      <c r="CW53" s="61" t="str">
        <f t="shared" si="25"/>
        <v/>
      </c>
      <c r="CX53" s="61" t="str">
        <f t="shared" si="26"/>
        <v>FA</v>
      </c>
      <c r="DA53" s="80" t="s">
        <v>217</v>
      </c>
      <c r="DC53" s="80" t="s">
        <v>217</v>
      </c>
      <c r="DG53" s="80" t="s">
        <v>217</v>
      </c>
      <c r="DH53" s="61" t="str">
        <f t="shared" si="27"/>
        <v/>
      </c>
      <c r="DI53" s="80" t="s">
        <v>217</v>
      </c>
      <c r="DK53" s="61" t="str">
        <f t="shared" si="38"/>
        <v/>
      </c>
      <c r="DL53" s="61" t="str">
        <f t="shared" si="39"/>
        <v/>
      </c>
      <c r="DP53" s="80" t="s">
        <v>217</v>
      </c>
      <c r="DS53" s="80" t="s">
        <v>217</v>
      </c>
      <c r="EB53" s="80" t="s">
        <v>683</v>
      </c>
      <c r="ED53" s="80">
        <v>4.0</v>
      </c>
      <c r="EE53" s="80" t="s">
        <v>931</v>
      </c>
      <c r="EF53" s="112">
        <v>21102.0</v>
      </c>
      <c r="EG53" s="80" t="s">
        <v>932</v>
      </c>
      <c r="EI53" s="80" t="s">
        <v>217</v>
      </c>
    </row>
    <row r="54" ht="1.5" customHeight="1">
      <c r="A54" s="80" t="s">
        <v>934</v>
      </c>
      <c r="B54" s="113" t="s">
        <v>935</v>
      </c>
      <c r="C54" s="80" t="s">
        <v>245</v>
      </c>
      <c r="D54" s="80" t="s">
        <v>936</v>
      </c>
      <c r="E54" s="80" t="s">
        <v>217</v>
      </c>
      <c r="F54" s="80" t="s">
        <v>209</v>
      </c>
      <c r="G54" s="80" t="s">
        <v>211</v>
      </c>
      <c r="H54" s="61" t="str">
        <f t="shared" si="3"/>
        <v/>
      </c>
      <c r="I54" s="61" t="str">
        <f t="shared" si="4"/>
        <v/>
      </c>
      <c r="J54" s="61" t="str">
        <f t="shared" si="5"/>
        <v/>
      </c>
      <c r="K54" s="61" t="str">
        <f t="shared" si="6"/>
        <v/>
      </c>
      <c r="L54" s="61" t="str">
        <f t="shared" si="7"/>
        <v/>
      </c>
      <c r="M54" s="61">
        <f t="shared" si="8"/>
        <v>1</v>
      </c>
      <c r="N54" s="61" t="b">
        <f t="shared" si="42"/>
        <v>1</v>
      </c>
      <c r="O54" s="61" t="b">
        <f t="shared" si="43"/>
        <v>1</v>
      </c>
      <c r="P54" s="80">
        <v>1.0</v>
      </c>
      <c r="Q54" s="80">
        <v>1.0</v>
      </c>
      <c r="R54" s="80">
        <v>1.0</v>
      </c>
      <c r="S54" s="61" t="b">
        <f t="shared" si="44"/>
        <v>1</v>
      </c>
      <c r="T54" s="80">
        <v>1.0</v>
      </c>
      <c r="U54" s="80">
        <v>1.0</v>
      </c>
      <c r="V54" s="80">
        <v>1.0</v>
      </c>
      <c r="X54" s="61" t="str">
        <f t="shared" si="30"/>
        <v/>
      </c>
      <c r="Y54" s="61" t="str">
        <f t="shared" si="12"/>
        <v/>
      </c>
      <c r="Z54" s="114" t="s">
        <v>937</v>
      </c>
      <c r="AA54" s="80" t="s">
        <v>266</v>
      </c>
      <c r="AC54" s="61">
        <f>countif('Charts-SLR'!A:A,AA54)</f>
        <v>1</v>
      </c>
      <c r="AD54" s="80" t="s">
        <v>677</v>
      </c>
      <c r="AE54" s="61">
        <f t="shared" si="13"/>
        <v>0</v>
      </c>
      <c r="AF54" s="80">
        <v>2009.0</v>
      </c>
      <c r="AG54" s="80" t="s">
        <v>268</v>
      </c>
      <c r="AH54" s="80">
        <v>20.0</v>
      </c>
      <c r="AI54" s="108">
        <f t="shared" si="14"/>
        <v>6.666666667</v>
      </c>
      <c r="AJ54" s="61" t="str">
        <f t="shared" si="15"/>
        <v/>
      </c>
      <c r="AK54" s="61" t="str">
        <f t="shared" si="16"/>
        <v/>
      </c>
      <c r="AL54" s="61" t="str">
        <f t="shared" si="17"/>
        <v/>
      </c>
      <c r="AM54" s="61" t="str">
        <f t="shared" si="18"/>
        <v/>
      </c>
      <c r="AN54" s="61">
        <f t="shared" si="19"/>
        <v>20</v>
      </c>
      <c r="AO54" s="61" t="str">
        <f t="shared" si="20"/>
        <v>halfond:issta'09, </v>
      </c>
      <c r="AU54" s="80" t="s">
        <v>217</v>
      </c>
      <c r="AV54" s="61">
        <f t="shared" si="21"/>
        <v>1</v>
      </c>
      <c r="AX54" s="80" t="s">
        <v>217</v>
      </c>
      <c r="BF54" s="80" t="s">
        <v>217</v>
      </c>
      <c r="BL54" s="80" t="s">
        <v>217</v>
      </c>
      <c r="BN54" s="80" t="s">
        <v>217</v>
      </c>
      <c r="BO54" s="218" t="str">
        <f t="shared" si="41"/>
        <v/>
      </c>
      <c r="BP54" s="61">
        <f t="shared" si="33"/>
        <v>2</v>
      </c>
      <c r="BQ54" s="80" t="s">
        <v>217</v>
      </c>
      <c r="BT54" s="80" t="s">
        <v>217</v>
      </c>
      <c r="CC54" s="80" t="s">
        <v>217</v>
      </c>
      <c r="CM54" s="61">
        <f t="shared" si="22"/>
        <v>1</v>
      </c>
      <c r="CN54" s="80" t="s">
        <v>217</v>
      </c>
      <c r="CR54" s="114" t="s">
        <v>217</v>
      </c>
      <c r="CS54" s="61">
        <f t="shared" si="23"/>
        <v>2</v>
      </c>
      <c r="CU54" s="80" t="s">
        <v>217</v>
      </c>
      <c r="CV54" s="61" t="str">
        <f t="shared" si="24"/>
        <v/>
      </c>
      <c r="CW54" s="61" t="str">
        <f t="shared" si="25"/>
        <v/>
      </c>
      <c r="CX54" s="61" t="str">
        <f t="shared" si="26"/>
        <v>FA</v>
      </c>
      <c r="CY54" s="80" t="s">
        <v>217</v>
      </c>
      <c r="DA54" s="80" t="s">
        <v>217</v>
      </c>
      <c r="DB54" s="80" t="s">
        <v>217</v>
      </c>
      <c r="DG54" s="80" t="s">
        <v>217</v>
      </c>
      <c r="DH54" s="61" t="str">
        <f t="shared" si="27"/>
        <v/>
      </c>
      <c r="DI54" s="80" t="s">
        <v>217</v>
      </c>
      <c r="DK54" s="61" t="str">
        <f t="shared" si="38"/>
        <v/>
      </c>
      <c r="DL54" s="61" t="str">
        <f t="shared" si="39"/>
        <v/>
      </c>
      <c r="DT54" s="80" t="s">
        <v>217</v>
      </c>
      <c r="EB54" s="80" t="s">
        <v>944</v>
      </c>
      <c r="ED54" s="80">
        <v>4.0</v>
      </c>
      <c r="EE54" s="80" t="s">
        <v>945</v>
      </c>
      <c r="EF54" s="112">
        <v>42854.0</v>
      </c>
      <c r="EG54" s="80" t="s">
        <v>946</v>
      </c>
      <c r="EJ54" s="80" t="s">
        <v>217</v>
      </c>
    </row>
    <row r="55" ht="1.5" customHeight="1">
      <c r="A55" s="80" t="s">
        <v>948</v>
      </c>
      <c r="B55" s="113" t="s">
        <v>949</v>
      </c>
      <c r="C55" s="80" t="s">
        <v>209</v>
      </c>
      <c r="D55" s="80" t="s">
        <v>950</v>
      </c>
      <c r="E55" s="80" t="s">
        <v>217</v>
      </c>
      <c r="F55" s="80" t="s">
        <v>210</v>
      </c>
      <c r="G55" s="80" t="s">
        <v>211</v>
      </c>
      <c r="H55" s="61">
        <f t="shared" si="3"/>
        <v>1</v>
      </c>
      <c r="I55" s="61" t="str">
        <f t="shared" si="4"/>
        <v/>
      </c>
      <c r="J55" s="61" t="str">
        <f t="shared" si="5"/>
        <v/>
      </c>
      <c r="K55" s="61" t="str">
        <f t="shared" si="6"/>
        <v/>
      </c>
      <c r="L55" s="61" t="str">
        <f t="shared" si="7"/>
        <v/>
      </c>
      <c r="M55" s="61" t="str">
        <f t="shared" si="8"/>
        <v/>
      </c>
      <c r="N55" s="61" t="b">
        <f t="shared" si="42"/>
        <v>1</v>
      </c>
      <c r="O55" s="61" t="b">
        <f t="shared" si="43"/>
        <v>1</v>
      </c>
      <c r="P55" s="80">
        <v>1.0</v>
      </c>
      <c r="Q55" s="80">
        <v>1.0</v>
      </c>
      <c r="R55" s="80">
        <v>1.0</v>
      </c>
      <c r="S55" s="61" t="b">
        <f t="shared" si="44"/>
        <v>1</v>
      </c>
      <c r="T55" s="80">
        <v>1.0</v>
      </c>
      <c r="U55" s="80">
        <v>1.0</v>
      </c>
      <c r="V55" s="80">
        <v>1.0</v>
      </c>
      <c r="X55" s="61" t="str">
        <f t="shared" si="30"/>
        <v/>
      </c>
      <c r="Y55" s="61" t="str">
        <f t="shared" si="12"/>
        <v/>
      </c>
      <c r="Z55" s="80" t="s">
        <v>951</v>
      </c>
      <c r="AA55" s="80" t="s">
        <v>266</v>
      </c>
      <c r="AC55" s="61">
        <f>countif('Charts-SLR'!A:A,AA55)</f>
        <v>1</v>
      </c>
      <c r="AD55" s="80" t="s">
        <v>267</v>
      </c>
      <c r="AE55" s="61">
        <f t="shared" si="13"/>
        <v>0</v>
      </c>
      <c r="AF55" s="80">
        <v>2008.0</v>
      </c>
      <c r="AG55" s="80" t="s">
        <v>250</v>
      </c>
      <c r="AH55" s="80">
        <v>32.0</v>
      </c>
      <c r="AI55" s="108">
        <f t="shared" si="14"/>
        <v>8</v>
      </c>
      <c r="AJ55" s="61" t="str">
        <f t="shared" si="15"/>
        <v/>
      </c>
      <c r="AK55" s="61">
        <f t="shared" si="16"/>
        <v>32</v>
      </c>
      <c r="AL55" s="61" t="str">
        <f t="shared" si="17"/>
        <v/>
      </c>
      <c r="AM55" s="61" t="str">
        <f t="shared" si="18"/>
        <v/>
      </c>
      <c r="AN55" s="61" t="str">
        <f t="shared" si="19"/>
        <v/>
      </c>
      <c r="AO55" s="61" t="str">
        <f t="shared" si="20"/>
        <v/>
      </c>
      <c r="AP55" s="80" t="s">
        <v>217</v>
      </c>
      <c r="AV55" s="61">
        <f t="shared" si="21"/>
        <v>1</v>
      </c>
      <c r="AY55" s="80" t="s">
        <v>217</v>
      </c>
      <c r="BD55" s="80" t="s">
        <v>217</v>
      </c>
      <c r="BL55" s="80" t="s">
        <v>952</v>
      </c>
      <c r="BN55" s="80" t="s">
        <v>217</v>
      </c>
      <c r="BO55" s="218" t="str">
        <f t="shared" si="41"/>
        <v/>
      </c>
      <c r="BP55" s="61">
        <f t="shared" si="33"/>
        <v>2</v>
      </c>
      <c r="BS55" s="80" t="s">
        <v>217</v>
      </c>
      <c r="BX55" s="80" t="s">
        <v>217</v>
      </c>
      <c r="CL55" s="80" t="s">
        <v>953</v>
      </c>
      <c r="CM55" s="61">
        <f t="shared" si="22"/>
        <v>1</v>
      </c>
      <c r="CR55" s="114" t="s">
        <v>217</v>
      </c>
      <c r="CS55" s="61">
        <f t="shared" si="23"/>
        <v>1</v>
      </c>
      <c r="CU55" s="80" t="s">
        <v>217</v>
      </c>
      <c r="CV55" s="61" t="str">
        <f t="shared" si="24"/>
        <v/>
      </c>
      <c r="CW55" s="61" t="str">
        <f t="shared" si="25"/>
        <v/>
      </c>
      <c r="CX55" s="61" t="str">
        <f t="shared" si="26"/>
        <v>FA</v>
      </c>
      <c r="CZ55" s="80" t="s">
        <v>217</v>
      </c>
      <c r="DG55" s="80" t="s">
        <v>217</v>
      </c>
      <c r="DH55" s="61" t="str">
        <f t="shared" si="27"/>
        <v/>
      </c>
      <c r="DI55" s="80" t="s">
        <v>217</v>
      </c>
      <c r="DK55" s="61" t="str">
        <f t="shared" si="38"/>
        <v/>
      </c>
      <c r="DL55" s="61" t="str">
        <f t="shared" si="39"/>
        <v/>
      </c>
      <c r="DP55" s="80" t="s">
        <v>217</v>
      </c>
      <c r="DT55" s="80" t="s">
        <v>217</v>
      </c>
      <c r="ED55" s="80">
        <v>3.0</v>
      </c>
      <c r="EE55" s="80" t="s">
        <v>959</v>
      </c>
      <c r="EF55" s="116">
        <f>7615+9401+999</f>
        <v>18015</v>
      </c>
      <c r="EG55" s="80" t="s">
        <v>960</v>
      </c>
      <c r="EI55" s="80" t="s">
        <v>217</v>
      </c>
    </row>
    <row r="56" ht="1.5" customHeight="1">
      <c r="A56" s="80" t="s">
        <v>962</v>
      </c>
      <c r="B56" s="113" t="s">
        <v>963</v>
      </c>
      <c r="C56" s="80" t="s">
        <v>210</v>
      </c>
      <c r="D56" s="80" t="s">
        <v>964</v>
      </c>
      <c r="E56" s="80" t="s">
        <v>217</v>
      </c>
      <c r="F56" s="80" t="s">
        <v>209</v>
      </c>
      <c r="G56" s="80" t="s">
        <v>211</v>
      </c>
      <c r="H56" s="61" t="str">
        <f t="shared" si="3"/>
        <v/>
      </c>
      <c r="I56" s="61" t="str">
        <f t="shared" si="4"/>
        <v/>
      </c>
      <c r="J56" s="61">
        <f t="shared" si="5"/>
        <v>1</v>
      </c>
      <c r="K56" s="61" t="str">
        <f t="shared" si="6"/>
        <v/>
      </c>
      <c r="L56" s="61" t="str">
        <f t="shared" si="7"/>
        <v/>
      </c>
      <c r="M56" s="61" t="str">
        <f t="shared" si="8"/>
        <v/>
      </c>
      <c r="N56" s="61" t="b">
        <f t="shared" si="42"/>
        <v>1</v>
      </c>
      <c r="O56" s="61" t="b">
        <f t="shared" si="43"/>
        <v>1</v>
      </c>
      <c r="P56" s="80">
        <v>1.0</v>
      </c>
      <c r="Q56" s="80">
        <v>1.0</v>
      </c>
      <c r="R56" s="80">
        <v>1.0</v>
      </c>
      <c r="S56" s="61" t="b">
        <f t="shared" si="44"/>
        <v>1</v>
      </c>
      <c r="T56" s="80">
        <v>1.0</v>
      </c>
      <c r="U56" s="80">
        <v>1.0</v>
      </c>
      <c r="V56" s="80">
        <v>1.0</v>
      </c>
      <c r="X56" s="61" t="str">
        <f t="shared" si="30"/>
        <v/>
      </c>
      <c r="Y56" s="61" t="str">
        <f t="shared" si="12"/>
        <v>Roest:2010.icst, </v>
      </c>
      <c r="Z56" s="114" t="s">
        <v>965</v>
      </c>
      <c r="AA56" s="80" t="s">
        <v>766</v>
      </c>
      <c r="AC56" s="61">
        <f>countif('Charts-SLR'!A:A,AA56)</f>
        <v>1</v>
      </c>
      <c r="AD56" s="80" t="s">
        <v>267</v>
      </c>
      <c r="AE56" s="61">
        <f t="shared" si="13"/>
        <v>0</v>
      </c>
      <c r="AF56" s="80">
        <v>2010.0</v>
      </c>
      <c r="AG56" s="80" t="s">
        <v>250</v>
      </c>
      <c r="AH56" s="80">
        <v>12.0</v>
      </c>
      <c r="AI56" s="108">
        <f t="shared" si="14"/>
        <v>6</v>
      </c>
      <c r="AJ56" s="61" t="str">
        <f t="shared" si="15"/>
        <v/>
      </c>
      <c r="AK56" s="61">
        <f t="shared" si="16"/>
        <v>12</v>
      </c>
      <c r="AL56" s="61" t="str">
        <f t="shared" si="17"/>
        <v/>
      </c>
      <c r="AM56" s="61" t="str">
        <f t="shared" si="18"/>
        <v/>
      </c>
      <c r="AN56" s="61" t="str">
        <f t="shared" si="19"/>
        <v/>
      </c>
      <c r="AO56" s="61" t="str">
        <f t="shared" si="20"/>
        <v/>
      </c>
      <c r="AP56" s="80" t="s">
        <v>217</v>
      </c>
      <c r="AQ56" s="80" t="s">
        <v>217</v>
      </c>
      <c r="AR56" s="80" t="s">
        <v>217</v>
      </c>
      <c r="AV56" s="61">
        <f t="shared" si="21"/>
        <v>3</v>
      </c>
      <c r="AY56" s="80" t="s">
        <v>217</v>
      </c>
      <c r="BD56" s="80" t="s">
        <v>217</v>
      </c>
      <c r="BG56" s="80" t="s">
        <v>217</v>
      </c>
      <c r="BI56" s="80" t="s">
        <v>217</v>
      </c>
      <c r="BJ56" s="80" t="s">
        <v>217</v>
      </c>
      <c r="BK56" s="80" t="s">
        <v>217</v>
      </c>
      <c r="BM56" s="80" t="s">
        <v>217</v>
      </c>
      <c r="BO56" s="218" t="str">
        <f t="shared" si="41"/>
        <v/>
      </c>
      <c r="BP56" s="61">
        <f t="shared" si="33"/>
        <v>1</v>
      </c>
      <c r="BQ56" s="80" t="s">
        <v>217</v>
      </c>
      <c r="BY56" s="80" t="s">
        <v>217</v>
      </c>
      <c r="CF56" s="80" t="s">
        <v>217</v>
      </c>
      <c r="CM56" s="61">
        <f t="shared" si="22"/>
        <v>1</v>
      </c>
      <c r="CN56" s="80" t="s">
        <v>217</v>
      </c>
      <c r="CQ56" s="80" t="s">
        <v>217</v>
      </c>
      <c r="CS56" s="61">
        <f t="shared" si="23"/>
        <v>2</v>
      </c>
      <c r="CU56" s="80" t="s">
        <v>217</v>
      </c>
      <c r="CV56" s="61" t="str">
        <f t="shared" si="24"/>
        <v/>
      </c>
      <c r="CW56" s="61" t="str">
        <f t="shared" si="25"/>
        <v/>
      </c>
      <c r="CX56" s="61" t="str">
        <f t="shared" si="26"/>
        <v>FA</v>
      </c>
      <c r="DA56" s="80" t="s">
        <v>217</v>
      </c>
      <c r="DE56" s="80" t="s">
        <v>1408</v>
      </c>
      <c r="DG56" s="80" t="s">
        <v>217</v>
      </c>
      <c r="DH56" s="61" t="str">
        <f t="shared" si="27"/>
        <v/>
      </c>
      <c r="DJ56" s="80" t="s">
        <v>217</v>
      </c>
      <c r="DK56" s="61" t="str">
        <f t="shared" si="38"/>
        <v/>
      </c>
      <c r="DL56" s="61" t="str">
        <f t="shared" si="39"/>
        <v/>
      </c>
      <c r="DN56" s="80" t="s">
        <v>217</v>
      </c>
      <c r="DO56" s="80" t="s">
        <v>217</v>
      </c>
      <c r="DY56" s="80" t="s">
        <v>217</v>
      </c>
      <c r="EB56" s="80" t="s">
        <v>971</v>
      </c>
      <c r="EC56" s="80" t="s">
        <v>217</v>
      </c>
      <c r="ED56" s="80">
        <v>2.0</v>
      </c>
      <c r="EE56" s="80" t="s">
        <v>972</v>
      </c>
      <c r="EF56" s="112">
        <v>17016.0</v>
      </c>
      <c r="EG56" s="220" t="s">
        <v>973</v>
      </c>
      <c r="EI56" s="80" t="s">
        <v>217</v>
      </c>
      <c r="EJ56" s="80" t="s">
        <v>217</v>
      </c>
    </row>
    <row r="57" ht="1.5" customHeight="1">
      <c r="A57" s="80" t="s">
        <v>975</v>
      </c>
      <c r="B57" s="113" t="s">
        <v>976</v>
      </c>
      <c r="C57" s="80" t="s">
        <v>245</v>
      </c>
      <c r="D57" s="80" t="s">
        <v>977</v>
      </c>
      <c r="E57" s="80" t="s">
        <v>217</v>
      </c>
      <c r="F57" s="80" t="s">
        <v>210</v>
      </c>
      <c r="G57" s="80" t="s">
        <v>211</v>
      </c>
      <c r="H57" s="61" t="str">
        <f t="shared" si="3"/>
        <v/>
      </c>
      <c r="I57" s="61" t="str">
        <f t="shared" si="4"/>
        <v/>
      </c>
      <c r="J57" s="61" t="str">
        <f t="shared" si="5"/>
        <v/>
      </c>
      <c r="K57" s="61" t="str">
        <f t="shared" si="6"/>
        <v/>
      </c>
      <c r="L57" s="61">
        <f t="shared" si="7"/>
        <v>1</v>
      </c>
      <c r="M57" s="61" t="str">
        <f t="shared" si="8"/>
        <v/>
      </c>
      <c r="N57" s="61" t="b">
        <f t="shared" si="42"/>
        <v>1</v>
      </c>
      <c r="O57" s="61" t="b">
        <f t="shared" si="43"/>
        <v>1</v>
      </c>
      <c r="P57" s="80">
        <v>1.0</v>
      </c>
      <c r="Q57" s="80">
        <v>1.0</v>
      </c>
      <c r="R57" s="80">
        <v>1.0</v>
      </c>
      <c r="S57" s="61" t="b">
        <f t="shared" si="44"/>
        <v>1</v>
      </c>
      <c r="T57" s="80">
        <v>1.0</v>
      </c>
      <c r="U57" s="80">
        <v>1.0</v>
      </c>
      <c r="V57" s="80">
        <v>1.0</v>
      </c>
      <c r="X57" s="61" t="str">
        <f t="shared" si="30"/>
        <v/>
      </c>
      <c r="Y57" s="61" t="str">
        <f t="shared" si="12"/>
        <v>Amalfitano:icstw10, </v>
      </c>
      <c r="Z57" s="114" t="s">
        <v>978</v>
      </c>
      <c r="AA57" s="80" t="s">
        <v>214</v>
      </c>
      <c r="AC57" s="61">
        <f>countif('Charts-SLR'!A:A,AA57)</f>
        <v>1</v>
      </c>
      <c r="AD57" s="80" t="s">
        <v>979</v>
      </c>
      <c r="AE57" s="61">
        <f t="shared" si="13"/>
        <v>0</v>
      </c>
      <c r="AF57" s="80">
        <v>2010.0</v>
      </c>
      <c r="AG57" s="80" t="s">
        <v>216</v>
      </c>
      <c r="AH57" s="80">
        <v>3.0</v>
      </c>
      <c r="AI57" s="108">
        <f t="shared" si="14"/>
        <v>1.5</v>
      </c>
      <c r="AJ57" s="61" t="str">
        <f t="shared" si="15"/>
        <v/>
      </c>
      <c r="AK57" s="61" t="str">
        <f t="shared" si="16"/>
        <v/>
      </c>
      <c r="AL57" s="61">
        <f t="shared" si="17"/>
        <v>3</v>
      </c>
      <c r="AM57" s="61" t="str">
        <f t="shared" si="18"/>
        <v/>
      </c>
      <c r="AN57" s="61" t="str">
        <f t="shared" si="19"/>
        <v/>
      </c>
      <c r="AO57" s="61" t="str">
        <f t="shared" si="20"/>
        <v/>
      </c>
      <c r="AP57" s="80" t="s">
        <v>217</v>
      </c>
      <c r="AQ57" s="80" t="s">
        <v>217</v>
      </c>
      <c r="AV57" s="61">
        <f t="shared" si="21"/>
        <v>2</v>
      </c>
      <c r="AX57" s="80" t="s">
        <v>217</v>
      </c>
      <c r="BD57" s="80" t="s">
        <v>217</v>
      </c>
      <c r="BF57" s="80" t="s">
        <v>217</v>
      </c>
      <c r="BG57" s="80" t="s">
        <v>217</v>
      </c>
      <c r="BL57" s="80" t="s">
        <v>1409</v>
      </c>
      <c r="BM57" s="80" t="s">
        <v>217</v>
      </c>
      <c r="BO57" s="218" t="str">
        <f t="shared" si="41"/>
        <v/>
      </c>
      <c r="BP57" s="61">
        <f t="shared" si="33"/>
        <v>1</v>
      </c>
      <c r="BQ57" s="80" t="s">
        <v>217</v>
      </c>
      <c r="BY57" s="80" t="s">
        <v>217</v>
      </c>
      <c r="BZ57" s="80" t="s">
        <v>217</v>
      </c>
      <c r="CF57" s="80" t="s">
        <v>217</v>
      </c>
      <c r="CM57" s="61">
        <f t="shared" si="22"/>
        <v>1</v>
      </c>
      <c r="CN57" s="80" t="s">
        <v>217</v>
      </c>
      <c r="CS57" s="61">
        <f t="shared" si="23"/>
        <v>1</v>
      </c>
      <c r="CT57" s="80" t="s">
        <v>217</v>
      </c>
      <c r="CU57" s="80" t="s">
        <v>217</v>
      </c>
      <c r="CV57" s="61" t="str">
        <f t="shared" si="24"/>
        <v>both</v>
      </c>
      <c r="CW57" s="61" t="str">
        <f t="shared" si="25"/>
        <v/>
      </c>
      <c r="CX57" s="61" t="str">
        <f t="shared" si="26"/>
        <v/>
      </c>
      <c r="CY57" s="80" t="s">
        <v>217</v>
      </c>
      <c r="CZ57" s="80" t="s">
        <v>217</v>
      </c>
      <c r="DG57" s="80" t="s">
        <v>217</v>
      </c>
      <c r="DH57" s="61" t="str">
        <f t="shared" si="27"/>
        <v/>
      </c>
      <c r="DJ57" s="80" t="s">
        <v>217</v>
      </c>
      <c r="DK57" s="61" t="str">
        <f t="shared" si="38"/>
        <v/>
      </c>
      <c r="DL57" s="61" t="str">
        <f t="shared" si="39"/>
        <v/>
      </c>
      <c r="DN57" s="80" t="s">
        <v>217</v>
      </c>
      <c r="DT57" s="80" t="s">
        <v>217</v>
      </c>
      <c r="DY57" s="80" t="s">
        <v>217</v>
      </c>
      <c r="EB57" s="80" t="s">
        <v>984</v>
      </c>
      <c r="EC57" s="80" t="s">
        <v>217</v>
      </c>
      <c r="ED57" s="80">
        <v>1.0</v>
      </c>
      <c r="EE57" s="80" t="s">
        <v>985</v>
      </c>
      <c r="EF57" s="112">
        <v>10000.0</v>
      </c>
      <c r="EI57" s="80" t="s">
        <v>217</v>
      </c>
    </row>
    <row r="58" ht="29.25" customHeight="1">
      <c r="A58" s="80" t="s">
        <v>987</v>
      </c>
      <c r="B58" s="113" t="s">
        <v>988</v>
      </c>
      <c r="C58" s="80" t="s">
        <v>209</v>
      </c>
      <c r="D58" s="80" t="s">
        <v>989</v>
      </c>
      <c r="E58" s="80" t="s">
        <v>217</v>
      </c>
      <c r="F58" s="80" t="s">
        <v>245</v>
      </c>
      <c r="G58" s="80" t="s">
        <v>211</v>
      </c>
      <c r="H58" s="61" t="str">
        <f t="shared" si="3"/>
        <v/>
      </c>
      <c r="I58" s="61">
        <f t="shared" si="4"/>
        <v>1</v>
      </c>
      <c r="J58" s="61" t="str">
        <f t="shared" si="5"/>
        <v/>
      </c>
      <c r="K58" s="61" t="str">
        <f t="shared" si="6"/>
        <v/>
      </c>
      <c r="L58" s="61" t="str">
        <f t="shared" si="7"/>
        <v/>
      </c>
      <c r="M58" s="61" t="str">
        <f t="shared" si="8"/>
        <v/>
      </c>
      <c r="N58" s="61" t="b">
        <f t="shared" si="42"/>
        <v>1</v>
      </c>
      <c r="O58" s="61" t="b">
        <f t="shared" si="43"/>
        <v>1</v>
      </c>
      <c r="P58" s="80">
        <v>1.0</v>
      </c>
      <c r="Q58" s="80">
        <v>1.0</v>
      </c>
      <c r="R58" s="80">
        <v>1.0</v>
      </c>
      <c r="S58" s="61" t="b">
        <f t="shared" si="44"/>
        <v>1</v>
      </c>
      <c r="T58" s="80">
        <v>1.0</v>
      </c>
      <c r="U58" s="80">
        <v>1.0</v>
      </c>
      <c r="V58" s="80">
        <v>1.0</v>
      </c>
      <c r="X58" s="61" t="str">
        <f t="shared" si="30"/>
        <v/>
      </c>
      <c r="Y58" s="61" t="str">
        <f t="shared" si="12"/>
        <v/>
      </c>
      <c r="Z58" s="114" t="s">
        <v>990</v>
      </c>
      <c r="AA58" s="80" t="s">
        <v>266</v>
      </c>
      <c r="AC58" s="61">
        <f>countif('Charts-SLR'!A:A,AA58)</f>
        <v>1</v>
      </c>
      <c r="AD58" s="80" t="s">
        <v>312</v>
      </c>
      <c r="AE58" s="61">
        <f t="shared" si="13"/>
        <v>0</v>
      </c>
      <c r="AF58" s="80">
        <v>2010.0</v>
      </c>
      <c r="AG58" s="80" t="s">
        <v>231</v>
      </c>
      <c r="AH58" s="80">
        <v>6.0</v>
      </c>
      <c r="AI58" s="108">
        <f t="shared" si="14"/>
        <v>3</v>
      </c>
      <c r="AJ58" s="61">
        <f t="shared" si="15"/>
        <v>6</v>
      </c>
      <c r="AK58" s="61" t="str">
        <f t="shared" si="16"/>
        <v/>
      </c>
      <c r="AL58" s="61" t="str">
        <f t="shared" si="17"/>
        <v/>
      </c>
      <c r="AM58" s="61" t="str">
        <f t="shared" si="18"/>
        <v/>
      </c>
      <c r="AN58" s="61" t="str">
        <f t="shared" si="19"/>
        <v/>
      </c>
      <c r="AO58" s="61" t="str">
        <f t="shared" si="20"/>
        <v/>
      </c>
      <c r="AP58" s="80" t="s">
        <v>217</v>
      </c>
      <c r="AQ58" s="80" t="s">
        <v>217</v>
      </c>
      <c r="AV58" s="61">
        <f t="shared" si="21"/>
        <v>2</v>
      </c>
      <c r="AX58" s="80" t="s">
        <v>217</v>
      </c>
      <c r="BD58" s="80" t="s">
        <v>217</v>
      </c>
      <c r="BG58" s="80" t="s">
        <v>217</v>
      </c>
      <c r="BI58" s="80" t="s">
        <v>217</v>
      </c>
      <c r="BN58" s="80" t="s">
        <v>217</v>
      </c>
      <c r="BO58" s="218" t="str">
        <f t="shared" si="41"/>
        <v/>
      </c>
      <c r="BP58" s="61">
        <f t="shared" si="33"/>
        <v>2</v>
      </c>
      <c r="BS58" s="80" t="s">
        <v>217</v>
      </c>
      <c r="BZ58" s="80" t="s">
        <v>217</v>
      </c>
      <c r="CK58" s="80" t="s">
        <v>217</v>
      </c>
      <c r="CM58" s="61">
        <f t="shared" si="22"/>
        <v>1</v>
      </c>
      <c r="CN58" s="80" t="s">
        <v>217</v>
      </c>
      <c r="CS58" s="61">
        <f t="shared" si="23"/>
        <v>1</v>
      </c>
      <c r="CT58" s="80" t="s">
        <v>217</v>
      </c>
      <c r="CU58" s="80" t="s">
        <v>217</v>
      </c>
      <c r="CV58" s="61" t="str">
        <f t="shared" si="24"/>
        <v>both</v>
      </c>
      <c r="CW58" s="61" t="str">
        <f t="shared" si="25"/>
        <v/>
      </c>
      <c r="CX58" s="61" t="str">
        <f t="shared" si="26"/>
        <v/>
      </c>
      <c r="DA58" s="80" t="s">
        <v>217</v>
      </c>
      <c r="DG58" s="80" t="s">
        <v>217</v>
      </c>
      <c r="DH58" s="61" t="str">
        <f t="shared" si="27"/>
        <v/>
      </c>
      <c r="DI58" s="80" t="s">
        <v>217</v>
      </c>
      <c r="DK58" s="61" t="str">
        <f t="shared" si="38"/>
        <v/>
      </c>
      <c r="DL58" s="61" t="str">
        <f t="shared" si="39"/>
        <v/>
      </c>
      <c r="DQ58" s="80" t="s">
        <v>217</v>
      </c>
      <c r="DZ58" s="80" t="s">
        <v>217</v>
      </c>
      <c r="EB58" s="80" t="s">
        <v>995</v>
      </c>
      <c r="ED58" s="80">
        <v>2.0</v>
      </c>
      <c r="EE58" s="80" t="s">
        <v>996</v>
      </c>
      <c r="EF58" s="116"/>
      <c r="EG58" s="80" t="s">
        <v>997</v>
      </c>
    </row>
    <row r="59" ht="1.5" customHeight="1">
      <c r="A59" s="80" t="s">
        <v>999</v>
      </c>
      <c r="B59" s="113" t="s">
        <v>1000</v>
      </c>
      <c r="C59" s="80" t="s">
        <v>210</v>
      </c>
      <c r="D59" s="80" t="s">
        <v>1001</v>
      </c>
      <c r="E59" s="80" t="s">
        <v>217</v>
      </c>
      <c r="F59" s="80" t="s">
        <v>209</v>
      </c>
      <c r="G59" s="80" t="s">
        <v>211</v>
      </c>
      <c r="H59" s="61" t="str">
        <f t="shared" si="3"/>
        <v/>
      </c>
      <c r="I59" s="61" t="str">
        <f t="shared" si="4"/>
        <v/>
      </c>
      <c r="J59" s="61">
        <f t="shared" si="5"/>
        <v>1</v>
      </c>
      <c r="K59" s="61" t="str">
        <f t="shared" si="6"/>
        <v/>
      </c>
      <c r="L59" s="61" t="str">
        <f t="shared" si="7"/>
        <v/>
      </c>
      <c r="M59" s="61" t="str">
        <f t="shared" si="8"/>
        <v/>
      </c>
      <c r="N59" s="61" t="b">
        <f t="shared" si="42"/>
        <v>1</v>
      </c>
      <c r="O59" s="61" t="b">
        <f t="shared" si="43"/>
        <v>1</v>
      </c>
      <c r="P59" s="80">
        <v>1.0</v>
      </c>
      <c r="Q59" s="80">
        <v>1.0</v>
      </c>
      <c r="R59" s="80">
        <v>1.0</v>
      </c>
      <c r="S59" s="61" t="b">
        <f t="shared" si="44"/>
        <v>1</v>
      </c>
      <c r="T59" s="80">
        <v>1.0</v>
      </c>
      <c r="U59" s="80">
        <v>1.0</v>
      </c>
      <c r="V59" s="80">
        <v>1.0</v>
      </c>
      <c r="X59" s="61" t="str">
        <f t="shared" si="30"/>
        <v/>
      </c>
      <c r="Y59" s="61" t="str">
        <f t="shared" si="12"/>
        <v/>
      </c>
      <c r="Z59" s="114" t="s">
        <v>1002</v>
      </c>
      <c r="AA59" s="80" t="s">
        <v>214</v>
      </c>
      <c r="AC59" s="61">
        <f>countif('Charts-SLR'!A:A,AA59)</f>
        <v>1</v>
      </c>
      <c r="AD59" s="80" t="s">
        <v>267</v>
      </c>
      <c r="AE59" s="61">
        <f t="shared" si="13"/>
        <v>0</v>
      </c>
      <c r="AF59" s="80">
        <v>2008.0</v>
      </c>
      <c r="AG59" s="80" t="s">
        <v>250</v>
      </c>
      <c r="AH59" s="80">
        <v>54.0</v>
      </c>
      <c r="AI59" s="108">
        <f t="shared" si="14"/>
        <v>13.5</v>
      </c>
      <c r="AJ59" s="61" t="str">
        <f t="shared" si="15"/>
        <v/>
      </c>
      <c r="AK59" s="61">
        <f t="shared" si="16"/>
        <v>54</v>
      </c>
      <c r="AL59" s="61" t="str">
        <f t="shared" si="17"/>
        <v/>
      </c>
      <c r="AM59" s="61" t="str">
        <f t="shared" si="18"/>
        <v/>
      </c>
      <c r="AN59" s="61" t="str">
        <f t="shared" si="19"/>
        <v/>
      </c>
      <c r="AO59" s="61" t="str">
        <f t="shared" si="20"/>
        <v/>
      </c>
      <c r="AP59" s="80" t="s">
        <v>217</v>
      </c>
      <c r="AR59" s="80" t="s">
        <v>217</v>
      </c>
      <c r="AV59" s="61">
        <f t="shared" si="21"/>
        <v>2</v>
      </c>
      <c r="AX59" s="80" t="s">
        <v>217</v>
      </c>
      <c r="BD59" s="80" t="s">
        <v>217</v>
      </c>
      <c r="BG59" s="80" t="s">
        <v>217</v>
      </c>
      <c r="BI59" s="80" t="s">
        <v>217</v>
      </c>
      <c r="BJ59" s="80" t="s">
        <v>217</v>
      </c>
      <c r="BM59" s="80" t="s">
        <v>217</v>
      </c>
      <c r="BO59" s="218" t="str">
        <f t="shared" si="41"/>
        <v/>
      </c>
      <c r="BP59" s="61">
        <f t="shared" si="33"/>
        <v>1</v>
      </c>
      <c r="BQ59" s="80" t="s">
        <v>217</v>
      </c>
      <c r="BY59" s="80" t="s">
        <v>217</v>
      </c>
      <c r="CA59" s="80" t="s">
        <v>187</v>
      </c>
      <c r="CD59" s="80" t="s">
        <v>217</v>
      </c>
      <c r="CK59" s="80" t="s">
        <v>217</v>
      </c>
      <c r="CM59" s="61">
        <f t="shared" si="22"/>
        <v>2</v>
      </c>
      <c r="CN59" s="80" t="s">
        <v>217</v>
      </c>
      <c r="CQ59" s="80" t="s">
        <v>217</v>
      </c>
      <c r="CS59" s="61">
        <f t="shared" si="23"/>
        <v>2</v>
      </c>
      <c r="CT59" s="80" t="s">
        <v>217</v>
      </c>
      <c r="CU59" s="80" t="s">
        <v>217</v>
      </c>
      <c r="CV59" s="61" t="str">
        <f t="shared" si="24"/>
        <v>both</v>
      </c>
      <c r="CW59" s="61" t="str">
        <f t="shared" si="25"/>
        <v/>
      </c>
      <c r="CX59" s="61" t="str">
        <f t="shared" si="26"/>
        <v/>
      </c>
      <c r="CZ59" s="80" t="s">
        <v>217</v>
      </c>
      <c r="DG59" s="80" t="s">
        <v>217</v>
      </c>
      <c r="DH59" s="61" t="str">
        <f t="shared" si="27"/>
        <v/>
      </c>
      <c r="DJ59" s="80" t="s">
        <v>217</v>
      </c>
      <c r="DK59" s="61" t="str">
        <f t="shared" si="38"/>
        <v/>
      </c>
      <c r="DL59" s="61" t="str">
        <f t="shared" si="39"/>
        <v/>
      </c>
      <c r="DN59" s="80" t="s">
        <v>217</v>
      </c>
      <c r="DO59" s="80" t="s">
        <v>217</v>
      </c>
      <c r="DT59" s="80" t="s">
        <v>217</v>
      </c>
      <c r="EB59" s="80" t="s">
        <v>1006</v>
      </c>
      <c r="ED59" s="80">
        <v>1.0</v>
      </c>
      <c r="EE59" s="80" t="s">
        <v>985</v>
      </c>
      <c r="EF59" s="112">
        <v>10000.0</v>
      </c>
      <c r="EI59" s="80" t="s">
        <v>217</v>
      </c>
    </row>
    <row r="60" ht="1.5" customHeight="1">
      <c r="A60" s="80" t="s">
        <v>1032</v>
      </c>
      <c r="B60" s="113" t="s">
        <v>1033</v>
      </c>
      <c r="C60" s="80" t="s">
        <v>209</v>
      </c>
      <c r="D60" s="80" t="s">
        <v>1034</v>
      </c>
      <c r="E60" s="80" t="s">
        <v>217</v>
      </c>
      <c r="F60" s="80" t="s">
        <v>210</v>
      </c>
      <c r="G60" s="80" t="s">
        <v>211</v>
      </c>
      <c r="H60" s="61">
        <f t="shared" si="3"/>
        <v>1</v>
      </c>
      <c r="I60" s="61" t="str">
        <f t="shared" si="4"/>
        <v/>
      </c>
      <c r="J60" s="61" t="str">
        <f t="shared" si="5"/>
        <v/>
      </c>
      <c r="K60" s="61" t="str">
        <f t="shared" si="6"/>
        <v/>
      </c>
      <c r="L60" s="61" t="str">
        <f t="shared" si="7"/>
        <v/>
      </c>
      <c r="M60" s="61" t="str">
        <f t="shared" si="8"/>
        <v/>
      </c>
      <c r="N60" s="61" t="b">
        <f t="shared" si="42"/>
        <v>1</v>
      </c>
      <c r="O60" s="61" t="b">
        <f t="shared" si="43"/>
        <v>1</v>
      </c>
      <c r="P60" s="80">
        <v>1.0</v>
      </c>
      <c r="Q60" s="80">
        <v>1.0</v>
      </c>
      <c r="R60" s="80">
        <v>1.0</v>
      </c>
      <c r="S60" s="61" t="b">
        <f t="shared" si="44"/>
        <v>1</v>
      </c>
      <c r="T60" s="80">
        <v>1.0</v>
      </c>
      <c r="U60" s="80">
        <v>1.0</v>
      </c>
      <c r="V60" s="80">
        <v>1.0</v>
      </c>
      <c r="X60" s="61" t="str">
        <f t="shared" si="30"/>
        <v/>
      </c>
      <c r="Y60" s="61" t="str">
        <f t="shared" si="12"/>
        <v/>
      </c>
      <c r="Z60" s="114" t="s">
        <v>1035</v>
      </c>
      <c r="AA60" s="80" t="s">
        <v>1036</v>
      </c>
      <c r="AC60" s="61">
        <f>countif('Charts-SLR'!A:A,AA60)</f>
        <v>1</v>
      </c>
      <c r="AD60" s="80" t="s">
        <v>1037</v>
      </c>
      <c r="AE60" s="61">
        <f t="shared" si="13"/>
        <v>0</v>
      </c>
      <c r="AF60" s="80">
        <v>2005.0</v>
      </c>
      <c r="AG60" s="80" t="s">
        <v>250</v>
      </c>
      <c r="AH60" s="80">
        <v>131.0</v>
      </c>
      <c r="AI60" s="108">
        <f t="shared" si="14"/>
        <v>18.71428571</v>
      </c>
      <c r="AJ60" s="61" t="str">
        <f t="shared" si="15"/>
        <v/>
      </c>
      <c r="AK60" s="61">
        <f t="shared" si="16"/>
        <v>131</v>
      </c>
      <c r="AL60" s="61" t="str">
        <f t="shared" si="17"/>
        <v/>
      </c>
      <c r="AM60" s="61" t="str">
        <f t="shared" si="18"/>
        <v/>
      </c>
      <c r="AN60" s="61" t="str">
        <f t="shared" si="19"/>
        <v/>
      </c>
      <c r="AO60" s="61" t="str">
        <f t="shared" si="20"/>
        <v/>
      </c>
      <c r="AP60" s="80" t="s">
        <v>217</v>
      </c>
      <c r="AQ60" s="80" t="s">
        <v>217</v>
      </c>
      <c r="AV60" s="61">
        <f t="shared" si="21"/>
        <v>2</v>
      </c>
      <c r="AW60" s="80" t="s">
        <v>217</v>
      </c>
      <c r="BE60" s="80" t="s">
        <v>217</v>
      </c>
      <c r="BG60" s="80" t="s">
        <v>217</v>
      </c>
      <c r="BN60" s="80" t="s">
        <v>217</v>
      </c>
      <c r="BO60" s="218" t="str">
        <f t="shared" si="41"/>
        <v/>
      </c>
      <c r="BP60" s="61">
        <f t="shared" si="33"/>
        <v>2</v>
      </c>
      <c r="BS60" s="80" t="s">
        <v>217</v>
      </c>
      <c r="BT60" s="80" t="s">
        <v>217</v>
      </c>
      <c r="CD60" s="80" t="s">
        <v>217</v>
      </c>
      <c r="CH60" s="80" t="s">
        <v>217</v>
      </c>
      <c r="CM60" s="61">
        <f t="shared" si="22"/>
        <v>2</v>
      </c>
      <c r="CR60" s="114" t="s">
        <v>217</v>
      </c>
      <c r="CS60" s="61">
        <f t="shared" si="23"/>
        <v>1</v>
      </c>
      <c r="CU60" s="80" t="s">
        <v>217</v>
      </c>
      <c r="CV60" s="61" t="str">
        <f t="shared" si="24"/>
        <v/>
      </c>
      <c r="CW60" s="61" t="str">
        <f t="shared" si="25"/>
        <v/>
      </c>
      <c r="CX60" s="61" t="str">
        <f t="shared" si="26"/>
        <v>FA</v>
      </c>
      <c r="DA60" s="80" t="s">
        <v>217</v>
      </c>
      <c r="DG60" s="80" t="s">
        <v>217</v>
      </c>
      <c r="DH60" s="61" t="str">
        <f t="shared" si="27"/>
        <v/>
      </c>
      <c r="DI60" s="80" t="s">
        <v>217</v>
      </c>
      <c r="DK60" s="61" t="str">
        <f t="shared" si="38"/>
        <v/>
      </c>
      <c r="DL60" s="61" t="str">
        <f t="shared" si="39"/>
        <v/>
      </c>
      <c r="DP60" s="80" t="s">
        <v>217</v>
      </c>
      <c r="DS60" s="80" t="s">
        <v>217</v>
      </c>
      <c r="EB60" s="80" t="s">
        <v>1038</v>
      </c>
      <c r="ED60" s="80">
        <v>6.0</v>
      </c>
      <c r="EE60" s="80" t="s">
        <v>1039</v>
      </c>
      <c r="EF60" s="112">
        <v>13230.0</v>
      </c>
      <c r="EI60" s="80" t="s">
        <v>217</v>
      </c>
    </row>
    <row r="61" ht="1.5" customHeight="1">
      <c r="A61" s="80" t="s">
        <v>1041</v>
      </c>
      <c r="B61" s="113" t="s">
        <v>1042</v>
      </c>
      <c r="C61" s="80" t="s">
        <v>245</v>
      </c>
      <c r="D61" s="80" t="s">
        <v>1043</v>
      </c>
      <c r="E61" s="80" t="s">
        <v>217</v>
      </c>
      <c r="F61" s="80" t="s">
        <v>210</v>
      </c>
      <c r="G61" s="80" t="s">
        <v>211</v>
      </c>
      <c r="H61" s="61" t="str">
        <f t="shared" si="3"/>
        <v/>
      </c>
      <c r="I61" s="61" t="str">
        <f t="shared" si="4"/>
        <v/>
      </c>
      <c r="J61" s="61" t="str">
        <f t="shared" si="5"/>
        <v/>
      </c>
      <c r="K61" s="61" t="str">
        <f t="shared" si="6"/>
        <v/>
      </c>
      <c r="L61" s="61">
        <f t="shared" si="7"/>
        <v>1</v>
      </c>
      <c r="M61" s="61" t="str">
        <f t="shared" si="8"/>
        <v/>
      </c>
      <c r="N61" s="61" t="b">
        <f t="shared" si="42"/>
        <v>1</v>
      </c>
      <c r="O61" s="61" t="b">
        <f t="shared" si="43"/>
        <v>1</v>
      </c>
      <c r="P61" s="80">
        <v>1.0</v>
      </c>
      <c r="Q61" s="80">
        <v>1.0</v>
      </c>
      <c r="R61" s="80">
        <v>1.0</v>
      </c>
      <c r="S61" s="61" t="b">
        <f t="shared" si="44"/>
        <v>1</v>
      </c>
      <c r="T61" s="80">
        <v>1.0</v>
      </c>
      <c r="U61" s="80">
        <v>1.0</v>
      </c>
      <c r="V61" s="80">
        <v>1.0</v>
      </c>
      <c r="X61" s="61" t="str">
        <f t="shared" si="30"/>
        <v/>
      </c>
      <c r="Y61" s="61" t="str">
        <f t="shared" si="12"/>
        <v/>
      </c>
      <c r="Z61" s="114" t="s">
        <v>1044</v>
      </c>
      <c r="AA61" s="80" t="s">
        <v>266</v>
      </c>
      <c r="AC61" s="61">
        <f>countif('Charts-SLR'!A:A,AA61)</f>
        <v>1</v>
      </c>
      <c r="AD61" s="80" t="s">
        <v>1037</v>
      </c>
      <c r="AE61" s="61">
        <f t="shared" si="13"/>
        <v>0</v>
      </c>
      <c r="AF61" s="80">
        <v>2011.0</v>
      </c>
      <c r="AG61" s="80" t="s">
        <v>250</v>
      </c>
      <c r="AH61" s="80">
        <v>2.0</v>
      </c>
      <c r="AI61" s="108">
        <f t="shared" si="14"/>
        <v>2</v>
      </c>
      <c r="AJ61" s="61" t="str">
        <f t="shared" si="15"/>
        <v/>
      </c>
      <c r="AK61" s="61">
        <f t="shared" si="16"/>
        <v>2</v>
      </c>
      <c r="AL61" s="61" t="str">
        <f t="shared" si="17"/>
        <v/>
      </c>
      <c r="AM61" s="61" t="str">
        <f t="shared" si="18"/>
        <v/>
      </c>
      <c r="AN61" s="61" t="str">
        <f t="shared" si="19"/>
        <v/>
      </c>
      <c r="AO61" s="61" t="str">
        <f t="shared" si="20"/>
        <v/>
      </c>
      <c r="AP61" s="80" t="s">
        <v>217</v>
      </c>
      <c r="AV61" s="61">
        <f t="shared" si="21"/>
        <v>1</v>
      </c>
      <c r="AX61" s="80" t="s">
        <v>217</v>
      </c>
      <c r="BE61" s="80" t="s">
        <v>217</v>
      </c>
      <c r="BL61" s="80" t="s">
        <v>884</v>
      </c>
      <c r="BO61" s="216" t="s">
        <v>217</v>
      </c>
      <c r="BP61" s="61">
        <f t="shared" si="33"/>
        <v>3</v>
      </c>
      <c r="BQ61" s="80" t="s">
        <v>217</v>
      </c>
      <c r="BT61" s="80" t="s">
        <v>217</v>
      </c>
      <c r="CD61" s="80" t="s">
        <v>217</v>
      </c>
      <c r="CM61" s="61">
        <f t="shared" si="22"/>
        <v>1</v>
      </c>
      <c r="CR61" s="114" t="s">
        <v>1046</v>
      </c>
      <c r="CS61" s="61">
        <f t="shared" si="23"/>
        <v>1</v>
      </c>
      <c r="CU61" s="80" t="s">
        <v>217</v>
      </c>
      <c r="CV61" s="61" t="str">
        <f t="shared" si="24"/>
        <v/>
      </c>
      <c r="CW61" s="61" t="str">
        <f t="shared" si="25"/>
        <v/>
      </c>
      <c r="CX61" s="61" t="str">
        <f t="shared" si="26"/>
        <v>FA</v>
      </c>
      <c r="DA61" s="80" t="s">
        <v>217</v>
      </c>
      <c r="DB61" s="80" t="s">
        <v>217</v>
      </c>
      <c r="DE61" s="80" t="s">
        <v>1410</v>
      </c>
      <c r="DG61" s="80" t="s">
        <v>217</v>
      </c>
      <c r="DH61" s="61" t="str">
        <f t="shared" si="27"/>
        <v/>
      </c>
      <c r="DJ61" s="80" t="s">
        <v>217</v>
      </c>
      <c r="DK61" s="61" t="str">
        <f t="shared" si="38"/>
        <v/>
      </c>
      <c r="DL61" s="61" t="str">
        <f t="shared" si="39"/>
        <v/>
      </c>
      <c r="DQ61" s="80" t="s">
        <v>217</v>
      </c>
      <c r="DS61" s="80" t="s">
        <v>217</v>
      </c>
      <c r="DT61" s="80" t="s">
        <v>217</v>
      </c>
      <c r="ED61" s="80">
        <v>9.0</v>
      </c>
      <c r="EE61" s="80" t="s">
        <v>1047</v>
      </c>
      <c r="EF61" s="112">
        <v>117919.0</v>
      </c>
      <c r="EG61" s="80" t="s">
        <v>1048</v>
      </c>
      <c r="EI61" s="80" t="s">
        <v>217</v>
      </c>
      <c r="EJ61" s="80" t="s">
        <v>217</v>
      </c>
    </row>
    <row r="62" ht="1.5" customHeight="1">
      <c r="A62" s="80" t="s">
        <v>1050</v>
      </c>
      <c r="B62" s="113" t="s">
        <v>1051</v>
      </c>
      <c r="C62" s="80" t="s">
        <v>209</v>
      </c>
      <c r="D62" s="80" t="s">
        <v>1052</v>
      </c>
      <c r="E62" s="80" t="s">
        <v>217</v>
      </c>
      <c r="F62" s="80" t="s">
        <v>210</v>
      </c>
      <c r="G62" s="80" t="s">
        <v>211</v>
      </c>
      <c r="H62" s="61">
        <f t="shared" si="3"/>
        <v>1</v>
      </c>
      <c r="I62" s="61" t="str">
        <f t="shared" si="4"/>
        <v/>
      </c>
      <c r="J62" s="61" t="str">
        <f t="shared" si="5"/>
        <v/>
      </c>
      <c r="K62" s="61" t="str">
        <f t="shared" si="6"/>
        <v/>
      </c>
      <c r="L62" s="61" t="str">
        <f t="shared" si="7"/>
        <v/>
      </c>
      <c r="M62" s="61" t="str">
        <f t="shared" si="8"/>
        <v/>
      </c>
      <c r="N62" s="61" t="b">
        <f t="shared" si="42"/>
        <v>1</v>
      </c>
      <c r="O62" s="61" t="b">
        <f t="shared" si="43"/>
        <v>1</v>
      </c>
      <c r="P62" s="80">
        <v>1.0</v>
      </c>
      <c r="Q62" s="80">
        <v>1.0</v>
      </c>
      <c r="R62" s="80">
        <v>1.0</v>
      </c>
      <c r="S62" s="61" t="b">
        <f t="shared" si="44"/>
        <v>1</v>
      </c>
      <c r="T62" s="80">
        <v>1.0</v>
      </c>
      <c r="U62" s="80">
        <v>1.0</v>
      </c>
      <c r="V62" s="80">
        <v>1.0</v>
      </c>
      <c r="X62" s="61" t="str">
        <f t="shared" si="30"/>
        <v/>
      </c>
      <c r="Y62" s="61" t="str">
        <f t="shared" si="12"/>
        <v/>
      </c>
      <c r="Z62" s="114" t="s">
        <v>213</v>
      </c>
      <c r="AA62" s="80" t="s">
        <v>214</v>
      </c>
      <c r="AC62" s="61">
        <f>countif('Charts-SLR'!A:A,AA62)</f>
        <v>1</v>
      </c>
      <c r="AD62" s="80" t="s">
        <v>1053</v>
      </c>
      <c r="AE62" s="61">
        <f t="shared" si="13"/>
        <v>0</v>
      </c>
      <c r="AF62" s="80">
        <v>2004.0</v>
      </c>
      <c r="AG62" s="80" t="s">
        <v>231</v>
      </c>
      <c r="AH62" s="80">
        <v>27.0</v>
      </c>
      <c r="AI62" s="108">
        <f t="shared" si="14"/>
        <v>3.375</v>
      </c>
      <c r="AJ62" s="61">
        <f t="shared" si="15"/>
        <v>27</v>
      </c>
      <c r="AK62" s="61" t="str">
        <f t="shared" si="16"/>
        <v/>
      </c>
      <c r="AL62" s="61" t="str">
        <f t="shared" si="17"/>
        <v/>
      </c>
      <c r="AM62" s="61" t="str">
        <f t="shared" si="18"/>
        <v/>
      </c>
      <c r="AN62" s="61" t="str">
        <f t="shared" si="19"/>
        <v/>
      </c>
      <c r="AO62" s="61" t="str">
        <f t="shared" si="20"/>
        <v/>
      </c>
      <c r="AP62" s="80" t="s">
        <v>217</v>
      </c>
      <c r="AQ62" s="80" t="s">
        <v>217</v>
      </c>
      <c r="AV62" s="61">
        <f t="shared" si="21"/>
        <v>2</v>
      </c>
      <c r="AX62" s="80" t="s">
        <v>217</v>
      </c>
      <c r="BD62" s="80" t="s">
        <v>217</v>
      </c>
      <c r="BG62" s="80" t="s">
        <v>217</v>
      </c>
      <c r="BI62" s="80" t="s">
        <v>217</v>
      </c>
      <c r="BJ62" s="80" t="s">
        <v>217</v>
      </c>
      <c r="BN62" s="80" t="s">
        <v>217</v>
      </c>
      <c r="BO62" s="218" t="str">
        <f t="shared" ref="BO62:BO63" si="45">if(and(BM62="x",BN62="x"), "x", "")</f>
        <v/>
      </c>
      <c r="BP62" s="61">
        <f t="shared" si="33"/>
        <v>2</v>
      </c>
      <c r="BS62" s="80" t="s">
        <v>217</v>
      </c>
      <c r="BX62" s="80" t="s">
        <v>217</v>
      </c>
      <c r="BY62" s="80" t="s">
        <v>217</v>
      </c>
      <c r="CF62" s="80" t="s">
        <v>217</v>
      </c>
      <c r="CK62" s="80" t="s">
        <v>217</v>
      </c>
      <c r="CM62" s="61">
        <f t="shared" si="22"/>
        <v>2</v>
      </c>
      <c r="CN62" s="80" t="s">
        <v>217</v>
      </c>
      <c r="CS62" s="61">
        <f t="shared" si="23"/>
        <v>1</v>
      </c>
      <c r="CU62" s="80" t="s">
        <v>217</v>
      </c>
      <c r="CV62" s="61" t="str">
        <f t="shared" si="24"/>
        <v/>
      </c>
      <c r="CW62" s="61" t="str">
        <f t="shared" si="25"/>
        <v/>
      </c>
      <c r="CX62" s="61" t="str">
        <f t="shared" si="26"/>
        <v>FA</v>
      </c>
      <c r="DA62" s="80" t="s">
        <v>217</v>
      </c>
      <c r="DG62" s="80" t="s">
        <v>217</v>
      </c>
      <c r="DH62" s="61" t="str">
        <f t="shared" si="27"/>
        <v/>
      </c>
      <c r="DI62" s="80" t="s">
        <v>217</v>
      </c>
      <c r="DK62" s="61" t="str">
        <f t="shared" si="38"/>
        <v/>
      </c>
      <c r="DL62" s="61" t="str">
        <f t="shared" si="39"/>
        <v/>
      </c>
      <c r="DP62" s="80" t="s">
        <v>217</v>
      </c>
      <c r="EA62" s="80" t="s">
        <v>1054</v>
      </c>
      <c r="EB62" s="80" t="s">
        <v>1055</v>
      </c>
      <c r="ED62" s="80">
        <v>1.0</v>
      </c>
      <c r="EE62" s="80" t="s">
        <v>1056</v>
      </c>
      <c r="EF62" s="116"/>
      <c r="EG62" s="80" t="s">
        <v>1057</v>
      </c>
    </row>
    <row r="63" ht="1.5" customHeight="1">
      <c r="A63" s="80" t="s">
        <v>898</v>
      </c>
      <c r="B63" s="113" t="s">
        <v>899</v>
      </c>
      <c r="C63" s="80" t="s">
        <v>245</v>
      </c>
      <c r="D63" s="80" t="s">
        <v>900</v>
      </c>
      <c r="E63" s="80" t="s">
        <v>217</v>
      </c>
      <c r="F63" s="80" t="s">
        <v>210</v>
      </c>
      <c r="G63" s="80" t="s">
        <v>211</v>
      </c>
      <c r="H63" s="61" t="str">
        <f t="shared" si="3"/>
        <v/>
      </c>
      <c r="I63" s="61" t="str">
        <f t="shared" si="4"/>
        <v/>
      </c>
      <c r="J63" s="61" t="str">
        <f t="shared" si="5"/>
        <v/>
      </c>
      <c r="K63" s="61" t="str">
        <f t="shared" si="6"/>
        <v/>
      </c>
      <c r="L63" s="61">
        <f t="shared" si="7"/>
        <v>1</v>
      </c>
      <c r="M63" s="61" t="str">
        <f t="shared" si="8"/>
        <v/>
      </c>
      <c r="N63" s="61" t="b">
        <f t="shared" si="42"/>
        <v>1</v>
      </c>
      <c r="O63" s="61" t="b">
        <f t="shared" si="43"/>
        <v>1</v>
      </c>
      <c r="P63" s="80">
        <v>1.0</v>
      </c>
      <c r="Q63" s="80">
        <v>1.0</v>
      </c>
      <c r="R63" s="80">
        <v>1.0</v>
      </c>
      <c r="S63" s="61" t="b">
        <f t="shared" si="44"/>
        <v>1</v>
      </c>
      <c r="T63" s="80">
        <v>1.0</v>
      </c>
      <c r="U63" s="80">
        <v>1.0</v>
      </c>
      <c r="V63" s="80">
        <v>1.0</v>
      </c>
      <c r="X63" s="61" t="str">
        <f t="shared" si="30"/>
        <v/>
      </c>
      <c r="Y63" s="61" t="str">
        <f t="shared" si="12"/>
        <v>Li:jss10, </v>
      </c>
      <c r="Z63" s="80" t="s">
        <v>901</v>
      </c>
      <c r="AA63" s="80" t="s">
        <v>902</v>
      </c>
      <c r="AB63" s="80" t="s">
        <v>217</v>
      </c>
      <c r="AC63" s="80">
        <v>1.0</v>
      </c>
      <c r="AD63" s="80" t="s">
        <v>903</v>
      </c>
      <c r="AE63" s="61">
        <f t="shared" si="13"/>
        <v>0</v>
      </c>
      <c r="AF63" s="80">
        <v>2010.0</v>
      </c>
      <c r="AG63" s="80" t="s">
        <v>231</v>
      </c>
      <c r="AH63" s="80">
        <v>2.0</v>
      </c>
      <c r="AI63" s="108">
        <f t="shared" si="14"/>
        <v>1</v>
      </c>
      <c r="AJ63" s="61">
        <f t="shared" si="15"/>
        <v>2</v>
      </c>
      <c r="AK63" s="61" t="str">
        <f t="shared" si="16"/>
        <v/>
      </c>
      <c r="AL63" s="61" t="str">
        <f t="shared" si="17"/>
        <v/>
      </c>
      <c r="AM63" s="61" t="str">
        <f t="shared" si="18"/>
        <v/>
      </c>
      <c r="AN63" s="61" t="str">
        <f t="shared" si="19"/>
        <v/>
      </c>
      <c r="AO63" s="61" t="str">
        <f t="shared" si="20"/>
        <v/>
      </c>
      <c r="AP63" s="80" t="s">
        <v>217</v>
      </c>
      <c r="AV63" s="61">
        <f t="shared" si="21"/>
        <v>1</v>
      </c>
      <c r="AX63" s="80" t="s">
        <v>217</v>
      </c>
      <c r="BD63" s="80" t="s">
        <v>217</v>
      </c>
      <c r="BG63" s="80" t="s">
        <v>217</v>
      </c>
      <c r="BM63" s="80" t="s">
        <v>217</v>
      </c>
      <c r="BO63" s="218" t="str">
        <f t="shared" si="45"/>
        <v/>
      </c>
      <c r="BP63" s="61">
        <f t="shared" si="33"/>
        <v>1</v>
      </c>
      <c r="BQ63" s="80" t="s">
        <v>217</v>
      </c>
      <c r="CA63" s="80" t="s">
        <v>217</v>
      </c>
      <c r="CB63" s="80" t="s">
        <v>217</v>
      </c>
      <c r="CF63" s="80" t="s">
        <v>217</v>
      </c>
      <c r="CM63" s="61">
        <f t="shared" si="22"/>
        <v>2</v>
      </c>
      <c r="CN63" s="80" t="s">
        <v>217</v>
      </c>
      <c r="CS63" s="61">
        <f t="shared" si="23"/>
        <v>1</v>
      </c>
      <c r="CT63" s="80" t="s">
        <v>217</v>
      </c>
      <c r="CU63" s="80" t="s">
        <v>217</v>
      </c>
      <c r="CV63" s="61" t="str">
        <f t="shared" si="24"/>
        <v>both</v>
      </c>
      <c r="CW63" s="61" t="str">
        <f t="shared" si="25"/>
        <v/>
      </c>
      <c r="CX63" s="61" t="str">
        <f t="shared" si="26"/>
        <v/>
      </c>
      <c r="CZ63" s="80" t="s">
        <v>217</v>
      </c>
      <c r="DA63" s="80" t="s">
        <v>217</v>
      </c>
      <c r="DC63" s="80" t="s">
        <v>217</v>
      </c>
      <c r="DG63" s="80" t="s">
        <v>217</v>
      </c>
      <c r="DH63" s="61" t="str">
        <f t="shared" si="27"/>
        <v/>
      </c>
      <c r="DI63" s="80" t="s">
        <v>217</v>
      </c>
      <c r="DK63" s="61" t="str">
        <f t="shared" si="38"/>
        <v/>
      </c>
      <c r="DL63" s="61" t="str">
        <f t="shared" si="39"/>
        <v/>
      </c>
      <c r="DM63" s="80" t="s">
        <v>217</v>
      </c>
      <c r="DN63" s="80" t="s">
        <v>217</v>
      </c>
      <c r="DY63" s="80" t="s">
        <v>217</v>
      </c>
      <c r="EB63" s="80" t="s">
        <v>908</v>
      </c>
      <c r="ED63" s="80">
        <v>2.0</v>
      </c>
      <c r="EE63" s="80" t="s">
        <v>909</v>
      </c>
      <c r="EF63" s="112">
        <v>159409.0</v>
      </c>
      <c r="EG63" s="80" t="s">
        <v>910</v>
      </c>
      <c r="EI63" s="80" t="s">
        <v>217</v>
      </c>
    </row>
    <row r="64" ht="1.5" customHeight="1">
      <c r="A64" s="80" t="s">
        <v>1008</v>
      </c>
      <c r="B64" s="113" t="s">
        <v>1009</v>
      </c>
      <c r="C64" s="80" t="s">
        <v>245</v>
      </c>
      <c r="D64" s="80" t="s">
        <v>1010</v>
      </c>
      <c r="E64" s="80" t="s">
        <v>217</v>
      </c>
      <c r="F64" s="80" t="s">
        <v>210</v>
      </c>
      <c r="G64" s="80" t="s">
        <v>211</v>
      </c>
      <c r="H64" s="61" t="str">
        <f t="shared" si="3"/>
        <v/>
      </c>
      <c r="I64" s="61" t="str">
        <f t="shared" si="4"/>
        <v/>
      </c>
      <c r="J64" s="61" t="str">
        <f t="shared" si="5"/>
        <v/>
      </c>
      <c r="K64" s="61" t="str">
        <f t="shared" si="6"/>
        <v/>
      </c>
      <c r="L64" s="61">
        <f t="shared" si="7"/>
        <v>1</v>
      </c>
      <c r="M64" s="61" t="str">
        <f t="shared" si="8"/>
        <v/>
      </c>
      <c r="N64" s="61" t="b">
        <f t="shared" si="42"/>
        <v>1</v>
      </c>
      <c r="O64" s="61" t="b">
        <f t="shared" si="43"/>
        <v>1</v>
      </c>
      <c r="P64" s="80">
        <v>1.0</v>
      </c>
      <c r="Q64" s="80">
        <v>1.0</v>
      </c>
      <c r="R64" s="80">
        <v>1.0</v>
      </c>
      <c r="S64" s="61" t="b">
        <f t="shared" si="44"/>
        <v>1</v>
      </c>
      <c r="T64" s="80">
        <v>0.0</v>
      </c>
      <c r="U64" s="80">
        <v>1.0</v>
      </c>
      <c r="V64" s="80">
        <v>1.0</v>
      </c>
      <c r="W64" s="115" t="s">
        <v>1011</v>
      </c>
      <c r="X64" s="61" t="str">
        <f t="shared" si="30"/>
        <v/>
      </c>
      <c r="Y64" s="61" t="str">
        <f t="shared" si="12"/>
        <v/>
      </c>
      <c r="Z64" s="114" t="s">
        <v>1012</v>
      </c>
      <c r="AA64" s="80" t="s">
        <v>214</v>
      </c>
      <c r="AC64" s="61">
        <f>countif('Charts-SLR'!A:A,AA64)</f>
        <v>1</v>
      </c>
      <c r="AD64" s="80" t="s">
        <v>1013</v>
      </c>
      <c r="AE64" s="61">
        <f t="shared" si="13"/>
        <v>0</v>
      </c>
      <c r="AF64" s="80">
        <v>2008.0</v>
      </c>
      <c r="AG64" s="80" t="s">
        <v>250</v>
      </c>
      <c r="AH64" s="80">
        <v>0.0</v>
      </c>
      <c r="AI64" s="108">
        <f t="shared" si="14"/>
        <v>0</v>
      </c>
      <c r="AJ64" s="61" t="str">
        <f t="shared" si="15"/>
        <v/>
      </c>
      <c r="AK64" s="61">
        <f t="shared" si="16"/>
        <v>0</v>
      </c>
      <c r="AL64" s="61" t="str">
        <f t="shared" si="17"/>
        <v/>
      </c>
      <c r="AM64" s="61" t="str">
        <f t="shared" si="18"/>
        <v/>
      </c>
      <c r="AN64" s="61" t="str">
        <f t="shared" si="19"/>
        <v/>
      </c>
      <c r="AO64" s="61" t="str">
        <f t="shared" si="20"/>
        <v/>
      </c>
      <c r="AP64" s="80" t="s">
        <v>217</v>
      </c>
      <c r="AR64" s="80" t="s">
        <v>217</v>
      </c>
      <c r="AV64" s="61">
        <f t="shared" si="21"/>
        <v>2</v>
      </c>
      <c r="AX64" s="80" t="s">
        <v>217</v>
      </c>
      <c r="BD64" s="80" t="s">
        <v>217</v>
      </c>
      <c r="BF64" s="80" t="s">
        <v>217</v>
      </c>
      <c r="BG64" s="80" t="s">
        <v>217</v>
      </c>
      <c r="BH64" s="80" t="s">
        <v>217</v>
      </c>
      <c r="BO64" s="216" t="s">
        <v>217</v>
      </c>
      <c r="BP64" s="61">
        <f t="shared" si="33"/>
        <v>3</v>
      </c>
      <c r="BS64" s="80" t="s">
        <v>217</v>
      </c>
      <c r="BY64" s="80" t="s">
        <v>217</v>
      </c>
      <c r="BZ64" s="80" t="s">
        <v>217</v>
      </c>
      <c r="CL64" s="80" t="s">
        <v>630</v>
      </c>
      <c r="CM64" s="61">
        <f t="shared" si="22"/>
        <v>1</v>
      </c>
      <c r="CN64" s="80" t="s">
        <v>217</v>
      </c>
      <c r="CO64" s="80" t="s">
        <v>217</v>
      </c>
      <c r="CP64" s="80" t="s">
        <v>217</v>
      </c>
      <c r="CS64" s="61">
        <f t="shared" si="23"/>
        <v>3</v>
      </c>
      <c r="CT64" s="80" t="s">
        <v>217</v>
      </c>
      <c r="CU64" s="80" t="s">
        <v>217</v>
      </c>
      <c r="CV64" s="61" t="str">
        <f t="shared" si="24"/>
        <v>both</v>
      </c>
      <c r="CW64" s="61" t="str">
        <f t="shared" si="25"/>
        <v/>
      </c>
      <c r="CX64" s="61" t="str">
        <f t="shared" si="26"/>
        <v/>
      </c>
      <c r="CY64" s="80" t="s">
        <v>217</v>
      </c>
      <c r="CZ64" s="80" t="s">
        <v>217</v>
      </c>
      <c r="DG64" s="80" t="s">
        <v>217</v>
      </c>
      <c r="DH64" s="61" t="str">
        <f t="shared" si="27"/>
        <v/>
      </c>
      <c r="DI64" s="80" t="s">
        <v>217</v>
      </c>
      <c r="DK64" s="61" t="str">
        <f t="shared" si="38"/>
        <v/>
      </c>
      <c r="DL64" s="61" t="str">
        <f t="shared" si="39"/>
        <v/>
      </c>
      <c r="DM64" s="80" t="s">
        <v>217</v>
      </c>
      <c r="DN64" s="80" t="s">
        <v>217</v>
      </c>
      <c r="DS64" s="80" t="s">
        <v>217</v>
      </c>
      <c r="ED64" s="80">
        <v>9.0</v>
      </c>
      <c r="EE64" s="80" t="s">
        <v>1021</v>
      </c>
      <c r="EF64" s="112">
        <v>13155.0</v>
      </c>
      <c r="EG64" s="80" t="s">
        <v>1022</v>
      </c>
      <c r="EI64" s="80" t="s">
        <v>217</v>
      </c>
    </row>
    <row r="65" ht="1.5" customHeight="1">
      <c r="A65" s="80" t="s">
        <v>1024</v>
      </c>
      <c r="B65" s="113" t="s">
        <v>1025</v>
      </c>
      <c r="C65" s="80" t="s">
        <v>245</v>
      </c>
      <c r="D65" s="80" t="s">
        <v>1026</v>
      </c>
      <c r="E65" s="80" t="s">
        <v>217</v>
      </c>
      <c r="F65" s="80" t="s">
        <v>210</v>
      </c>
      <c r="G65" s="80" t="s">
        <v>211</v>
      </c>
      <c r="H65" s="61" t="str">
        <f t="shared" si="3"/>
        <v/>
      </c>
      <c r="I65" s="61" t="str">
        <f t="shared" si="4"/>
        <v/>
      </c>
      <c r="J65" s="61" t="str">
        <f t="shared" si="5"/>
        <v/>
      </c>
      <c r="K65" s="61" t="str">
        <f t="shared" si="6"/>
        <v/>
      </c>
      <c r="L65" s="61">
        <f t="shared" si="7"/>
        <v>1</v>
      </c>
      <c r="M65" s="61" t="str">
        <f t="shared" si="8"/>
        <v/>
      </c>
      <c r="N65" s="61" t="b">
        <f t="shared" si="42"/>
        <v>1</v>
      </c>
      <c r="O65" s="61" t="b">
        <f t="shared" si="43"/>
        <v>1</v>
      </c>
      <c r="P65" s="80">
        <v>1.0</v>
      </c>
      <c r="Q65" s="80">
        <v>1.0</v>
      </c>
      <c r="R65" s="80">
        <v>1.0</v>
      </c>
      <c r="S65" s="61" t="b">
        <f t="shared" si="44"/>
        <v>1</v>
      </c>
      <c r="T65" s="80">
        <v>0.0</v>
      </c>
      <c r="U65" s="80">
        <v>1.0</v>
      </c>
      <c r="V65" s="80">
        <v>1.0</v>
      </c>
      <c r="X65" s="61" t="str">
        <f t="shared" si="30"/>
        <v/>
      </c>
      <c r="Y65" s="61" t="str">
        <f t="shared" si="12"/>
        <v>Gerlits:syrcose10, </v>
      </c>
      <c r="Z65" s="114" t="s">
        <v>1027</v>
      </c>
      <c r="AA65" s="80" t="s">
        <v>1028</v>
      </c>
      <c r="AC65" s="61">
        <f>countif('Charts-SLR'!A:A,AA65)</f>
        <v>1</v>
      </c>
      <c r="AD65" s="80" t="s">
        <v>1029</v>
      </c>
      <c r="AE65" s="61">
        <f t="shared" si="13"/>
        <v>0</v>
      </c>
      <c r="AF65" s="80">
        <v>2010.0</v>
      </c>
      <c r="AG65" s="80" t="s">
        <v>216</v>
      </c>
      <c r="AH65" s="80">
        <v>0.0</v>
      </c>
      <c r="AI65" s="108">
        <f t="shared" si="14"/>
        <v>0</v>
      </c>
      <c r="AJ65" s="61" t="str">
        <f t="shared" si="15"/>
        <v/>
      </c>
      <c r="AK65" s="61" t="str">
        <f t="shared" si="16"/>
        <v/>
      </c>
      <c r="AL65" s="61">
        <f t="shared" si="17"/>
        <v>0</v>
      </c>
      <c r="AM65" s="61" t="str">
        <f t="shared" si="18"/>
        <v/>
      </c>
      <c r="AN65" s="61" t="str">
        <f t="shared" si="19"/>
        <v/>
      </c>
      <c r="AO65" s="61" t="str">
        <f t="shared" si="20"/>
        <v>Gerlits:syrcose10, </v>
      </c>
      <c r="AU65" s="80" t="s">
        <v>217</v>
      </c>
      <c r="AV65" s="61">
        <f t="shared" si="21"/>
        <v>1</v>
      </c>
      <c r="AW65" s="80" t="s">
        <v>217</v>
      </c>
      <c r="BD65" s="80" t="s">
        <v>217</v>
      </c>
      <c r="BG65" s="80" t="s">
        <v>217</v>
      </c>
      <c r="BM65" s="80" t="s">
        <v>217</v>
      </c>
      <c r="BO65" s="218" t="str">
        <f t="shared" ref="BO65:BO68" si="46">if(and(BM65="x",BN65="x"), "x", "")</f>
        <v/>
      </c>
      <c r="BP65" s="61">
        <f t="shared" si="33"/>
        <v>1</v>
      </c>
      <c r="BS65" s="80" t="s">
        <v>217</v>
      </c>
      <c r="BV65" s="80" t="s">
        <v>217</v>
      </c>
      <c r="CB65" s="80" t="s">
        <v>217</v>
      </c>
      <c r="CM65" s="61">
        <f t="shared" si="22"/>
        <v>1</v>
      </c>
      <c r="CO65" s="80" t="s">
        <v>217</v>
      </c>
      <c r="CS65" s="61">
        <f t="shared" si="23"/>
        <v>1</v>
      </c>
      <c r="CT65" s="80" t="s">
        <v>217</v>
      </c>
      <c r="CU65" s="80" t="s">
        <v>217</v>
      </c>
      <c r="CV65" s="61" t="str">
        <f t="shared" si="24"/>
        <v>both</v>
      </c>
      <c r="CW65" s="61" t="str">
        <f t="shared" si="25"/>
        <v/>
      </c>
      <c r="CX65" s="61" t="str">
        <f t="shared" si="26"/>
        <v/>
      </c>
      <c r="CZ65" s="80" t="s">
        <v>217</v>
      </c>
      <c r="DG65" s="80" t="s">
        <v>217</v>
      </c>
      <c r="DH65" s="61" t="str">
        <f t="shared" si="27"/>
        <v/>
      </c>
      <c r="DJ65" s="80" t="s">
        <v>217</v>
      </c>
      <c r="DK65" s="61" t="str">
        <f t="shared" si="38"/>
        <v/>
      </c>
      <c r="DL65" s="61" t="str">
        <f t="shared" si="39"/>
        <v/>
      </c>
      <c r="DO65" s="80" t="s">
        <v>217</v>
      </c>
      <c r="DY65" s="80" t="s">
        <v>217</v>
      </c>
      <c r="ED65" s="80">
        <v>8.0</v>
      </c>
      <c r="EE65" s="80" t="s">
        <v>1030</v>
      </c>
      <c r="EF65" s="116"/>
    </row>
    <row r="66" ht="1.5" customHeight="1">
      <c r="A66" s="80" t="s">
        <v>1065</v>
      </c>
      <c r="B66" s="113" t="s">
        <v>1066</v>
      </c>
      <c r="C66" s="80" t="s">
        <v>210</v>
      </c>
      <c r="D66" s="80" t="s">
        <v>1067</v>
      </c>
      <c r="E66" s="80" t="s">
        <v>217</v>
      </c>
      <c r="F66" s="80" t="s">
        <v>245</v>
      </c>
      <c r="G66" s="80" t="s">
        <v>211</v>
      </c>
      <c r="H66" s="61" t="str">
        <f t="shared" si="3"/>
        <v/>
      </c>
      <c r="I66" s="61" t="str">
        <f t="shared" si="4"/>
        <v/>
      </c>
      <c r="J66" s="61" t="str">
        <f t="shared" si="5"/>
        <v/>
      </c>
      <c r="K66" s="61">
        <f t="shared" si="6"/>
        <v>1</v>
      </c>
      <c r="L66" s="61" t="str">
        <f t="shared" si="7"/>
        <v/>
      </c>
      <c r="M66" s="61" t="str">
        <f t="shared" si="8"/>
        <v/>
      </c>
      <c r="N66" s="61" t="b">
        <f t="shared" si="42"/>
        <v>1</v>
      </c>
      <c r="O66" s="61" t="b">
        <f t="shared" si="43"/>
        <v>1</v>
      </c>
      <c r="P66" s="80">
        <v>1.0</v>
      </c>
      <c r="Q66" s="80">
        <v>1.0</v>
      </c>
      <c r="R66" s="80">
        <v>1.0</v>
      </c>
      <c r="S66" s="61" t="b">
        <f t="shared" si="44"/>
        <v>1</v>
      </c>
      <c r="T66" s="80">
        <v>1.0</v>
      </c>
      <c r="U66" s="80">
        <v>1.0</v>
      </c>
      <c r="V66" s="80">
        <v>1.0</v>
      </c>
      <c r="X66" s="61" t="str">
        <f t="shared" si="30"/>
        <v/>
      </c>
      <c r="Y66" s="61" t="str">
        <f t="shared" si="12"/>
        <v/>
      </c>
      <c r="Z66" s="114" t="s">
        <v>1068</v>
      </c>
      <c r="AA66" s="80" t="s">
        <v>1069</v>
      </c>
      <c r="AC66" s="61">
        <f>countif('Charts-SLR'!A:A,AA66)</f>
        <v>1</v>
      </c>
      <c r="AD66" s="80" t="s">
        <v>903</v>
      </c>
      <c r="AE66" s="61">
        <f t="shared" si="13"/>
        <v>0</v>
      </c>
      <c r="AF66" s="80">
        <v>2008.0</v>
      </c>
      <c r="AG66" s="80" t="s">
        <v>231</v>
      </c>
      <c r="AH66" s="80">
        <v>8.0</v>
      </c>
      <c r="AI66" s="108">
        <f t="shared" si="14"/>
        <v>2</v>
      </c>
      <c r="AJ66" s="61">
        <f t="shared" si="15"/>
        <v>8</v>
      </c>
      <c r="AK66" s="61" t="str">
        <f t="shared" si="16"/>
        <v/>
      </c>
      <c r="AL66" s="61" t="str">
        <f t="shared" si="17"/>
        <v/>
      </c>
      <c r="AM66" s="61" t="str">
        <f t="shared" si="18"/>
        <v/>
      </c>
      <c r="AN66" s="61" t="str">
        <f t="shared" si="19"/>
        <v/>
      </c>
      <c r="AO66" s="61" t="str">
        <f t="shared" si="20"/>
        <v/>
      </c>
      <c r="AP66" s="80" t="s">
        <v>217</v>
      </c>
      <c r="AQ66" s="80" t="s">
        <v>217</v>
      </c>
      <c r="AR66" s="80" t="s">
        <v>217</v>
      </c>
      <c r="AS66" s="80" t="s">
        <v>217</v>
      </c>
      <c r="AV66" s="61">
        <f t="shared" si="21"/>
        <v>4</v>
      </c>
      <c r="AX66" s="80" t="s">
        <v>217</v>
      </c>
      <c r="BD66" s="80" t="s">
        <v>217</v>
      </c>
      <c r="BE66" s="80" t="s">
        <v>217</v>
      </c>
      <c r="BG66" s="80" t="s">
        <v>217</v>
      </c>
      <c r="BN66" s="80" t="s">
        <v>217</v>
      </c>
      <c r="BO66" s="218" t="str">
        <f t="shared" si="46"/>
        <v/>
      </c>
      <c r="BP66" s="61">
        <f t="shared" si="33"/>
        <v>2</v>
      </c>
      <c r="BQ66" s="80" t="s">
        <v>217</v>
      </c>
      <c r="BT66" s="80" t="s">
        <v>217</v>
      </c>
      <c r="CD66" s="80" t="s">
        <v>217</v>
      </c>
      <c r="CK66" s="80" t="s">
        <v>217</v>
      </c>
      <c r="CM66" s="61">
        <f t="shared" si="22"/>
        <v>2</v>
      </c>
      <c r="CO66" s="80" t="s">
        <v>217</v>
      </c>
      <c r="CS66" s="61">
        <f t="shared" si="23"/>
        <v>1</v>
      </c>
      <c r="CT66" s="80" t="s">
        <v>217</v>
      </c>
      <c r="CU66" s="80" t="s">
        <v>217</v>
      </c>
      <c r="CV66" s="61" t="str">
        <f t="shared" si="24"/>
        <v>both</v>
      </c>
      <c r="CW66" s="61" t="str">
        <f t="shared" si="25"/>
        <v/>
      </c>
      <c r="CX66" s="61" t="str">
        <f t="shared" si="26"/>
        <v/>
      </c>
      <c r="CY66" s="80" t="s">
        <v>217</v>
      </c>
      <c r="CZ66" s="80" t="s">
        <v>217</v>
      </c>
      <c r="DG66" s="80" t="s">
        <v>217</v>
      </c>
      <c r="DH66" s="61" t="str">
        <f t="shared" si="27"/>
        <v/>
      </c>
      <c r="DI66" s="80" t="s">
        <v>217</v>
      </c>
      <c r="DK66" s="61" t="str">
        <f t="shared" si="38"/>
        <v/>
      </c>
      <c r="DL66" s="61" t="str">
        <f t="shared" si="39"/>
        <v/>
      </c>
      <c r="DT66" s="80" t="s">
        <v>217</v>
      </c>
      <c r="EB66" s="80" t="s">
        <v>1074</v>
      </c>
      <c r="ED66" s="80">
        <v>16.0</v>
      </c>
      <c r="EE66" s="80" t="s">
        <v>1075</v>
      </c>
      <c r="EF66" s="112">
        <v>111533.0</v>
      </c>
      <c r="EG66" s="80" t="s">
        <v>1076</v>
      </c>
      <c r="EI66" s="80" t="s">
        <v>217</v>
      </c>
      <c r="EJ66" s="80" t="s">
        <v>217</v>
      </c>
    </row>
    <row r="67" ht="1.5" customHeight="1">
      <c r="A67" s="80" t="s">
        <v>1078</v>
      </c>
      <c r="B67" s="113" t="s">
        <v>1079</v>
      </c>
      <c r="C67" s="80" t="s">
        <v>209</v>
      </c>
      <c r="D67" s="80" t="s">
        <v>1080</v>
      </c>
      <c r="E67" s="80" t="s">
        <v>217</v>
      </c>
      <c r="F67" s="80" t="s">
        <v>210</v>
      </c>
      <c r="G67" s="80" t="s">
        <v>211</v>
      </c>
      <c r="H67" s="61">
        <f t="shared" si="3"/>
        <v>1</v>
      </c>
      <c r="I67" s="61" t="str">
        <f t="shared" si="4"/>
        <v/>
      </c>
      <c r="J67" s="61" t="str">
        <f t="shared" si="5"/>
        <v/>
      </c>
      <c r="K67" s="61" t="str">
        <f t="shared" si="6"/>
        <v/>
      </c>
      <c r="L67" s="61" t="str">
        <f t="shared" si="7"/>
        <v/>
      </c>
      <c r="M67" s="61" t="str">
        <f t="shared" si="8"/>
        <v/>
      </c>
      <c r="N67" s="61" t="b">
        <f t="shared" si="42"/>
        <v>1</v>
      </c>
      <c r="O67" s="61" t="b">
        <f t="shared" si="43"/>
        <v>1</v>
      </c>
      <c r="P67" s="80">
        <v>1.0</v>
      </c>
      <c r="Q67" s="80">
        <v>0.0</v>
      </c>
      <c r="R67" s="80">
        <v>1.0</v>
      </c>
      <c r="S67" s="61" t="b">
        <f t="shared" si="44"/>
        <v>1</v>
      </c>
      <c r="T67" s="80">
        <v>0.0</v>
      </c>
      <c r="U67" s="80">
        <v>1.0</v>
      </c>
      <c r="V67" s="80">
        <v>1.0</v>
      </c>
      <c r="W67" s="115" t="s">
        <v>1081</v>
      </c>
      <c r="X67" s="61" t="str">
        <f t="shared" si="30"/>
        <v/>
      </c>
      <c r="Y67" s="61" t="str">
        <f t="shared" si="12"/>
        <v/>
      </c>
      <c r="Z67" s="114" t="s">
        <v>348</v>
      </c>
      <c r="AA67" s="80" t="s">
        <v>214</v>
      </c>
      <c r="AC67" s="61">
        <f>countif('Charts-SLR'!A:A,AA67)</f>
        <v>1</v>
      </c>
      <c r="AD67" s="80" t="s">
        <v>450</v>
      </c>
      <c r="AE67" s="61">
        <f t="shared" si="13"/>
        <v>0</v>
      </c>
      <c r="AF67" s="80">
        <v>2002.0</v>
      </c>
      <c r="AG67" s="80" t="s">
        <v>231</v>
      </c>
      <c r="AH67" s="80">
        <v>30.0</v>
      </c>
      <c r="AI67" s="108">
        <f t="shared" si="14"/>
        <v>3</v>
      </c>
      <c r="AJ67" s="61">
        <f t="shared" si="15"/>
        <v>30</v>
      </c>
      <c r="AK67" s="61" t="str">
        <f t="shared" si="16"/>
        <v/>
      </c>
      <c r="AL67" s="61" t="str">
        <f t="shared" si="17"/>
        <v/>
      </c>
      <c r="AM67" s="61" t="str">
        <f t="shared" si="18"/>
        <v/>
      </c>
      <c r="AN67" s="61" t="str">
        <f t="shared" si="19"/>
        <v/>
      </c>
      <c r="AO67" s="61" t="str">
        <f t="shared" si="20"/>
        <v/>
      </c>
      <c r="AQ67" s="80" t="s">
        <v>217</v>
      </c>
      <c r="AT67" s="80" t="s">
        <v>217</v>
      </c>
      <c r="AV67" s="61">
        <f t="shared" si="21"/>
        <v>2</v>
      </c>
      <c r="AX67" s="80" t="s">
        <v>217</v>
      </c>
      <c r="BD67" s="80" t="s">
        <v>217</v>
      </c>
      <c r="BG67" s="80" t="s">
        <v>217</v>
      </c>
      <c r="BJ67" s="80" t="s">
        <v>217</v>
      </c>
      <c r="BN67" s="80" t="s">
        <v>217</v>
      </c>
      <c r="BO67" s="218" t="str">
        <f t="shared" si="46"/>
        <v/>
      </c>
      <c r="BP67" s="61">
        <f t="shared" si="33"/>
        <v>2</v>
      </c>
      <c r="BR67" s="80" t="s">
        <v>217</v>
      </c>
      <c r="BT67" s="80" t="s">
        <v>217</v>
      </c>
      <c r="BZ67" s="80" t="s">
        <v>217</v>
      </c>
      <c r="CK67" s="80" t="s">
        <v>217</v>
      </c>
      <c r="CM67" s="61">
        <f t="shared" si="22"/>
        <v>1</v>
      </c>
      <c r="CN67" s="80" t="s">
        <v>217</v>
      </c>
      <c r="CS67" s="61">
        <f t="shared" si="23"/>
        <v>1</v>
      </c>
      <c r="CU67" s="80" t="s">
        <v>217</v>
      </c>
      <c r="CV67" s="61" t="str">
        <f t="shared" si="24"/>
        <v/>
      </c>
      <c r="CW67" s="61" t="str">
        <f t="shared" si="25"/>
        <v/>
      </c>
      <c r="CX67" s="61" t="str">
        <f t="shared" si="26"/>
        <v>FA</v>
      </c>
      <c r="CY67" s="80" t="s">
        <v>217</v>
      </c>
      <c r="DG67" s="80" t="s">
        <v>217</v>
      </c>
      <c r="DH67" s="61" t="str">
        <f t="shared" si="27"/>
        <v/>
      </c>
      <c r="DI67" s="80" t="s">
        <v>217</v>
      </c>
      <c r="DK67" s="61" t="str">
        <f t="shared" si="38"/>
        <v/>
      </c>
      <c r="DL67" s="61" t="str">
        <f t="shared" si="39"/>
        <v/>
      </c>
      <c r="DQ67" s="80" t="s">
        <v>217</v>
      </c>
      <c r="DZ67" s="80" t="s">
        <v>217</v>
      </c>
      <c r="EB67" s="80" t="s">
        <v>1084</v>
      </c>
      <c r="ED67" s="80">
        <v>1.0</v>
      </c>
      <c r="EE67" s="80" t="s">
        <v>1085</v>
      </c>
      <c r="EF67" s="116"/>
      <c r="EG67" s="80" t="s">
        <v>1086</v>
      </c>
    </row>
    <row r="68" ht="1.5" customHeight="1">
      <c r="A68" s="80" t="s">
        <v>1088</v>
      </c>
      <c r="B68" s="113" t="s">
        <v>1089</v>
      </c>
      <c r="C68" s="80" t="s">
        <v>209</v>
      </c>
      <c r="D68" s="80" t="s">
        <v>1090</v>
      </c>
      <c r="E68" s="80" t="s">
        <v>217</v>
      </c>
      <c r="F68" s="80" t="s">
        <v>245</v>
      </c>
      <c r="G68" s="80" t="s">
        <v>211</v>
      </c>
      <c r="H68" s="61" t="str">
        <f t="shared" si="3"/>
        <v/>
      </c>
      <c r="I68" s="61">
        <f t="shared" si="4"/>
        <v>1</v>
      </c>
      <c r="J68" s="61" t="str">
        <f t="shared" si="5"/>
        <v/>
      </c>
      <c r="K68" s="61" t="str">
        <f t="shared" si="6"/>
        <v/>
      </c>
      <c r="L68" s="61" t="str">
        <f t="shared" si="7"/>
        <v/>
      </c>
      <c r="M68" s="61" t="str">
        <f t="shared" si="8"/>
        <v/>
      </c>
      <c r="N68" s="61" t="b">
        <f t="shared" si="42"/>
        <v>1</v>
      </c>
      <c r="O68" s="61" t="b">
        <f t="shared" si="43"/>
        <v>1</v>
      </c>
      <c r="P68" s="80">
        <v>1.0</v>
      </c>
      <c r="Q68" s="80">
        <v>1.0</v>
      </c>
      <c r="R68" s="80">
        <v>1.0</v>
      </c>
      <c r="S68" s="61" t="b">
        <f t="shared" si="44"/>
        <v>1</v>
      </c>
      <c r="T68" s="80">
        <v>0.0</v>
      </c>
      <c r="U68" s="80">
        <v>1.0</v>
      </c>
      <c r="V68" s="80">
        <v>1.0</v>
      </c>
      <c r="W68" s="80" t="s">
        <v>1091</v>
      </c>
      <c r="X68" s="61" t="str">
        <f t="shared" si="30"/>
        <v/>
      </c>
      <c r="Y68" s="61" t="str">
        <f t="shared" si="12"/>
        <v/>
      </c>
      <c r="Z68" s="114" t="s">
        <v>1092</v>
      </c>
      <c r="AA68" s="80" t="s">
        <v>1093</v>
      </c>
      <c r="AC68" s="61">
        <f>countif('Charts-SLR'!A:A,AA68)</f>
        <v>1</v>
      </c>
      <c r="AD68" s="80" t="s">
        <v>312</v>
      </c>
      <c r="AE68" s="61">
        <f t="shared" si="13"/>
        <v>0</v>
      </c>
      <c r="AF68" s="80">
        <v>2006.0</v>
      </c>
      <c r="AG68" s="80" t="s">
        <v>231</v>
      </c>
      <c r="AH68" s="80">
        <v>20.0</v>
      </c>
      <c r="AI68" s="108">
        <f t="shared" si="14"/>
        <v>3.333333333</v>
      </c>
      <c r="AJ68" s="61">
        <f t="shared" si="15"/>
        <v>20</v>
      </c>
      <c r="AK68" s="61" t="str">
        <f t="shared" si="16"/>
        <v/>
      </c>
      <c r="AL68" s="61" t="str">
        <f t="shared" si="17"/>
        <v/>
      </c>
      <c r="AM68" s="61" t="str">
        <f t="shared" si="18"/>
        <v/>
      </c>
      <c r="AN68" s="61" t="str">
        <f t="shared" si="19"/>
        <v/>
      </c>
      <c r="AO68" s="61" t="str">
        <f t="shared" si="20"/>
        <v/>
      </c>
      <c r="AP68" s="80" t="s">
        <v>217</v>
      </c>
      <c r="AR68" s="80" t="s">
        <v>217</v>
      </c>
      <c r="AV68" s="61">
        <f t="shared" si="21"/>
        <v>2</v>
      </c>
      <c r="AW68" s="80" t="s">
        <v>217</v>
      </c>
      <c r="BD68" s="80" t="s">
        <v>217</v>
      </c>
      <c r="BF68" s="80" t="s">
        <v>217</v>
      </c>
      <c r="BG68" s="80" t="s">
        <v>217</v>
      </c>
      <c r="BI68" s="80" t="s">
        <v>217</v>
      </c>
      <c r="BN68" s="80" t="s">
        <v>217</v>
      </c>
      <c r="BO68" s="218" t="str">
        <f t="shared" si="46"/>
        <v/>
      </c>
      <c r="BP68" s="61">
        <f t="shared" si="33"/>
        <v>2</v>
      </c>
      <c r="BR68" s="80" t="s">
        <v>217</v>
      </c>
      <c r="BT68" s="80" t="s">
        <v>217</v>
      </c>
      <c r="CD68" s="80" t="s">
        <v>217</v>
      </c>
      <c r="CE68" s="80" t="s">
        <v>217</v>
      </c>
      <c r="CL68" s="80" t="s">
        <v>217</v>
      </c>
      <c r="CM68" s="61">
        <f t="shared" si="22"/>
        <v>3</v>
      </c>
      <c r="CN68" s="80" t="s">
        <v>217</v>
      </c>
      <c r="CS68" s="61">
        <f t="shared" si="23"/>
        <v>1</v>
      </c>
      <c r="CU68" s="80" t="s">
        <v>217</v>
      </c>
      <c r="CV68" s="61" t="str">
        <f t="shared" si="24"/>
        <v/>
      </c>
      <c r="CW68" s="61" t="str">
        <f t="shared" si="25"/>
        <v/>
      </c>
      <c r="CX68" s="61" t="str">
        <f t="shared" si="26"/>
        <v>FA</v>
      </c>
      <c r="CY68" s="80" t="s">
        <v>217</v>
      </c>
      <c r="DA68" s="80" t="s">
        <v>217</v>
      </c>
      <c r="DG68" s="80" t="s">
        <v>217</v>
      </c>
      <c r="DH68" s="61" t="str">
        <f t="shared" si="27"/>
        <v/>
      </c>
      <c r="DI68" s="80" t="s">
        <v>217</v>
      </c>
      <c r="DK68" s="61" t="str">
        <f t="shared" si="38"/>
        <v/>
      </c>
      <c r="DL68" s="61" t="str">
        <f t="shared" si="39"/>
        <v/>
      </c>
      <c r="DP68" s="80" t="s">
        <v>217</v>
      </c>
      <c r="DU68" s="80" t="s">
        <v>217</v>
      </c>
      <c r="ED68" s="80">
        <v>1.0</v>
      </c>
      <c r="EE68" s="80" t="s">
        <v>1094</v>
      </c>
      <c r="EF68" s="112">
        <v>240.0</v>
      </c>
      <c r="EH68" s="80" t="s">
        <v>217</v>
      </c>
      <c r="EI68" s="80" t="s">
        <v>217</v>
      </c>
    </row>
    <row r="69" ht="1.5" customHeight="1">
      <c r="A69" s="80" t="s">
        <v>1088</v>
      </c>
      <c r="B69" s="113" t="s">
        <v>1096</v>
      </c>
      <c r="C69" s="80" t="s">
        <v>209</v>
      </c>
      <c r="D69" s="80" t="s">
        <v>1097</v>
      </c>
      <c r="E69" s="80" t="s">
        <v>217</v>
      </c>
      <c r="F69" s="80" t="s">
        <v>245</v>
      </c>
      <c r="G69" s="80" t="s">
        <v>211</v>
      </c>
      <c r="H69" s="61" t="str">
        <f t="shared" si="3"/>
        <v/>
      </c>
      <c r="I69" s="61">
        <f t="shared" si="4"/>
        <v>1</v>
      </c>
      <c r="J69" s="61" t="str">
        <f t="shared" si="5"/>
        <v/>
      </c>
      <c r="K69" s="61" t="str">
        <f t="shared" si="6"/>
        <v/>
      </c>
      <c r="L69" s="61" t="str">
        <f t="shared" si="7"/>
        <v/>
      </c>
      <c r="M69" s="61" t="str">
        <f t="shared" si="8"/>
        <v/>
      </c>
      <c r="N69" s="61" t="b">
        <f t="shared" si="42"/>
        <v>1</v>
      </c>
      <c r="O69" s="61" t="b">
        <f t="shared" si="43"/>
        <v>1</v>
      </c>
      <c r="P69" s="80">
        <v>1.0</v>
      </c>
      <c r="Q69" s="80">
        <v>1.0</v>
      </c>
      <c r="R69" s="80">
        <v>1.0</v>
      </c>
      <c r="S69" s="61" t="b">
        <f t="shared" si="44"/>
        <v>1</v>
      </c>
      <c r="T69" s="80">
        <v>1.0</v>
      </c>
      <c r="U69" s="80">
        <v>1.0</v>
      </c>
      <c r="V69" s="80">
        <v>1.0</v>
      </c>
      <c r="X69" s="61" t="str">
        <f t="shared" si="30"/>
        <v/>
      </c>
      <c r="Y69" s="61" t="str">
        <f t="shared" si="12"/>
        <v/>
      </c>
      <c r="Z69" s="114" t="s">
        <v>1098</v>
      </c>
      <c r="AA69" s="80" t="s">
        <v>214</v>
      </c>
      <c r="AC69" s="61">
        <f>countif('Charts-SLR'!A:A,AA69)</f>
        <v>1</v>
      </c>
      <c r="AD69" s="80" t="s">
        <v>334</v>
      </c>
      <c r="AE69" s="61">
        <f t="shared" si="13"/>
        <v>0</v>
      </c>
      <c r="AF69" s="80">
        <v>2002.0</v>
      </c>
      <c r="AG69" s="80" t="s">
        <v>250</v>
      </c>
      <c r="AH69" s="80">
        <v>134.0</v>
      </c>
      <c r="AI69" s="108">
        <f t="shared" si="14"/>
        <v>13.4</v>
      </c>
      <c r="AJ69" s="61" t="str">
        <f t="shared" si="15"/>
        <v/>
      </c>
      <c r="AK69" s="61">
        <f t="shared" si="16"/>
        <v>134</v>
      </c>
      <c r="AL69" s="61" t="str">
        <f t="shared" si="17"/>
        <v/>
      </c>
      <c r="AM69" s="61" t="str">
        <f t="shared" si="18"/>
        <v/>
      </c>
      <c r="AN69" s="61" t="str">
        <f t="shared" si="19"/>
        <v/>
      </c>
      <c r="AO69" s="61" t="str">
        <f t="shared" si="20"/>
        <v/>
      </c>
      <c r="AP69" s="80" t="s">
        <v>217</v>
      </c>
      <c r="AQ69" s="80" t="s">
        <v>217</v>
      </c>
      <c r="AR69" s="80" t="s">
        <v>217</v>
      </c>
      <c r="AV69" s="61">
        <f t="shared" si="21"/>
        <v>3</v>
      </c>
      <c r="AW69" s="80" t="s">
        <v>217</v>
      </c>
      <c r="BD69" s="80" t="s">
        <v>217</v>
      </c>
      <c r="BF69" s="80" t="s">
        <v>217</v>
      </c>
      <c r="BG69" s="80" t="s">
        <v>217</v>
      </c>
      <c r="BI69" s="80" t="s">
        <v>217</v>
      </c>
      <c r="BJ69" s="80" t="s">
        <v>217</v>
      </c>
      <c r="BK69" s="80" t="s">
        <v>217</v>
      </c>
      <c r="BO69" s="216" t="s">
        <v>217</v>
      </c>
      <c r="BP69" s="61">
        <f t="shared" si="33"/>
        <v>3</v>
      </c>
      <c r="BQ69" s="80" t="s">
        <v>217</v>
      </c>
      <c r="BR69" s="80" t="s">
        <v>217</v>
      </c>
      <c r="BT69" s="80" t="s">
        <v>217</v>
      </c>
      <c r="BV69" s="80" t="s">
        <v>217</v>
      </c>
      <c r="CB69" s="80" t="s">
        <v>217</v>
      </c>
      <c r="CK69" s="80" t="s">
        <v>217</v>
      </c>
      <c r="CM69" s="61">
        <f t="shared" si="22"/>
        <v>2</v>
      </c>
      <c r="CN69" s="80" t="s">
        <v>217</v>
      </c>
      <c r="CP69" s="80" t="s">
        <v>217</v>
      </c>
      <c r="CQ69" s="80" t="s">
        <v>217</v>
      </c>
      <c r="CS69" s="61">
        <f t="shared" si="23"/>
        <v>3</v>
      </c>
      <c r="CU69" s="80" t="s">
        <v>217</v>
      </c>
      <c r="CV69" s="61" t="str">
        <f t="shared" si="24"/>
        <v/>
      </c>
      <c r="CW69" s="61" t="str">
        <f t="shared" si="25"/>
        <v/>
      </c>
      <c r="CX69" s="61" t="str">
        <f t="shared" si="26"/>
        <v>FA</v>
      </c>
      <c r="CY69" s="80" t="s">
        <v>217</v>
      </c>
      <c r="DG69" s="80" t="s">
        <v>217</v>
      </c>
      <c r="DH69" s="61" t="str">
        <f t="shared" si="27"/>
        <v/>
      </c>
      <c r="DI69" s="80" t="s">
        <v>217</v>
      </c>
      <c r="DK69" s="61" t="str">
        <f t="shared" si="38"/>
        <v/>
      </c>
      <c r="DL69" s="61" t="str">
        <f t="shared" si="39"/>
        <v/>
      </c>
      <c r="DM69" s="80" t="s">
        <v>217</v>
      </c>
      <c r="DN69" s="80" t="s">
        <v>217</v>
      </c>
      <c r="DT69" s="80" t="s">
        <v>217</v>
      </c>
      <c r="DU69" s="80" t="s">
        <v>1100</v>
      </c>
      <c r="EB69" s="80" t="s">
        <v>1101</v>
      </c>
      <c r="EF69" s="116"/>
      <c r="EG69" s="80" t="s">
        <v>1102</v>
      </c>
      <c r="EI69" s="80" t="s">
        <v>217</v>
      </c>
    </row>
    <row r="70" ht="1.5" customHeight="1">
      <c r="A70" s="80" t="s">
        <v>1104</v>
      </c>
      <c r="B70" s="113" t="s">
        <v>1105</v>
      </c>
      <c r="C70" s="80" t="s">
        <v>209</v>
      </c>
      <c r="D70" s="80" t="s">
        <v>1106</v>
      </c>
      <c r="E70" s="80" t="s">
        <v>217</v>
      </c>
      <c r="F70" s="80" t="s">
        <v>245</v>
      </c>
      <c r="G70" s="80" t="s">
        <v>211</v>
      </c>
      <c r="H70" s="61" t="str">
        <f t="shared" si="3"/>
        <v/>
      </c>
      <c r="I70" s="61">
        <f t="shared" si="4"/>
        <v>1</v>
      </c>
      <c r="J70" s="61" t="str">
        <f t="shared" si="5"/>
        <v/>
      </c>
      <c r="K70" s="61" t="str">
        <f t="shared" si="6"/>
        <v/>
      </c>
      <c r="L70" s="61" t="str">
        <f t="shared" si="7"/>
        <v/>
      </c>
      <c r="M70" s="61" t="str">
        <f t="shared" si="8"/>
        <v/>
      </c>
      <c r="N70" s="61" t="b">
        <f t="shared" si="42"/>
        <v>1</v>
      </c>
      <c r="O70" s="61" t="b">
        <f t="shared" si="43"/>
        <v>1</v>
      </c>
      <c r="P70" s="80">
        <v>1.0</v>
      </c>
      <c r="Q70" s="80">
        <v>1.0</v>
      </c>
      <c r="R70" s="80">
        <v>1.0</v>
      </c>
      <c r="S70" s="61" t="b">
        <f t="shared" si="44"/>
        <v>1</v>
      </c>
      <c r="T70" s="80">
        <v>1.0</v>
      </c>
      <c r="U70" s="80">
        <v>1.0</v>
      </c>
      <c r="V70" s="80">
        <v>1.0</v>
      </c>
      <c r="X70" s="61" t="str">
        <f t="shared" si="30"/>
        <v/>
      </c>
      <c r="Y70" s="61" t="str">
        <f t="shared" si="12"/>
        <v/>
      </c>
      <c r="Z70" s="114" t="s">
        <v>1107</v>
      </c>
      <c r="AA70" s="80" t="s">
        <v>266</v>
      </c>
      <c r="AC70" s="61">
        <f>countif('Charts-SLR'!A:A,AA70)</f>
        <v>1</v>
      </c>
      <c r="AD70" s="80" t="s">
        <v>875</v>
      </c>
      <c r="AE70" s="61">
        <f t="shared" si="13"/>
        <v>0</v>
      </c>
      <c r="AF70" s="80">
        <v>2005.0</v>
      </c>
      <c r="AG70" s="80" t="s">
        <v>231</v>
      </c>
      <c r="AH70" s="80">
        <v>204.0</v>
      </c>
      <c r="AI70" s="108">
        <f t="shared" si="14"/>
        <v>29.14285714</v>
      </c>
      <c r="AJ70" s="61">
        <f t="shared" si="15"/>
        <v>204</v>
      </c>
      <c r="AK70" s="61" t="str">
        <f t="shared" si="16"/>
        <v/>
      </c>
      <c r="AL70" s="61" t="str">
        <f t="shared" si="17"/>
        <v/>
      </c>
      <c r="AM70" s="61" t="str">
        <f t="shared" si="18"/>
        <v/>
      </c>
      <c r="AN70" s="61" t="str">
        <f t="shared" si="19"/>
        <v/>
      </c>
      <c r="AO70" s="61" t="str">
        <f t="shared" si="20"/>
        <v/>
      </c>
      <c r="AP70" s="80" t="s">
        <v>217</v>
      </c>
      <c r="AT70" s="80" t="s">
        <v>217</v>
      </c>
      <c r="AV70" s="61">
        <f t="shared" si="21"/>
        <v>2</v>
      </c>
      <c r="AW70" s="80" t="s">
        <v>217</v>
      </c>
      <c r="BD70" s="80" t="s">
        <v>217</v>
      </c>
      <c r="BG70" s="80" t="s">
        <v>217</v>
      </c>
      <c r="BN70" s="80" t="s">
        <v>217</v>
      </c>
      <c r="BO70" s="218" t="str">
        <f>if(and(BM70="x",BN70="x"), "x", "")</f>
        <v/>
      </c>
      <c r="BP70" s="61">
        <f t="shared" si="33"/>
        <v>2</v>
      </c>
      <c r="BS70" s="80" t="s">
        <v>217</v>
      </c>
      <c r="BZ70" s="80" t="s">
        <v>217</v>
      </c>
      <c r="CK70" s="80" t="s">
        <v>217</v>
      </c>
      <c r="CM70" s="61">
        <f t="shared" si="22"/>
        <v>1</v>
      </c>
      <c r="CN70" s="80" t="s">
        <v>217</v>
      </c>
      <c r="CS70" s="61">
        <f t="shared" si="23"/>
        <v>1</v>
      </c>
      <c r="CU70" s="80" t="s">
        <v>217</v>
      </c>
      <c r="CV70" s="61" t="str">
        <f t="shared" si="24"/>
        <v/>
      </c>
      <c r="CW70" s="61" t="str">
        <f t="shared" si="25"/>
        <v/>
      </c>
      <c r="CX70" s="61" t="str">
        <f t="shared" si="26"/>
        <v>FA</v>
      </c>
      <c r="DA70" s="80" t="s">
        <v>217</v>
      </c>
      <c r="DG70" s="80" t="s">
        <v>217</v>
      </c>
      <c r="DH70" s="61" t="str">
        <f t="shared" si="27"/>
        <v/>
      </c>
      <c r="DI70" s="80" t="s">
        <v>217</v>
      </c>
      <c r="DK70" s="61" t="str">
        <f t="shared" si="38"/>
        <v/>
      </c>
      <c r="DL70" s="61" t="str">
        <f t="shared" si="39"/>
        <v/>
      </c>
      <c r="DQ70" s="80" t="s">
        <v>217</v>
      </c>
      <c r="DZ70" s="80" t="s">
        <v>217</v>
      </c>
      <c r="EB70" s="80" t="s">
        <v>1108</v>
      </c>
      <c r="ED70" s="80">
        <v>1.0</v>
      </c>
      <c r="EE70" s="80" t="s">
        <v>1109</v>
      </c>
      <c r="EF70" s="116"/>
      <c r="EG70" s="80" t="s">
        <v>1110</v>
      </c>
      <c r="EH70" s="80" t="s">
        <v>217</v>
      </c>
      <c r="EK70" s="80" t="s">
        <v>217</v>
      </c>
    </row>
    <row r="71" ht="1.5" customHeight="1">
      <c r="A71" s="114" t="s">
        <v>1112</v>
      </c>
      <c r="B71" s="113" t="s">
        <v>1113</v>
      </c>
      <c r="C71" s="80" t="s">
        <v>210</v>
      </c>
      <c r="D71" s="80" t="s">
        <v>1114</v>
      </c>
      <c r="E71" s="80" t="s">
        <v>217</v>
      </c>
      <c r="F71" s="80" t="s">
        <v>209</v>
      </c>
      <c r="G71" s="80" t="s">
        <v>211</v>
      </c>
      <c r="H71" s="61" t="str">
        <f t="shared" si="3"/>
        <v/>
      </c>
      <c r="I71" s="61" t="str">
        <f t="shared" si="4"/>
        <v/>
      </c>
      <c r="J71" s="61">
        <f t="shared" si="5"/>
        <v>1</v>
      </c>
      <c r="K71" s="61" t="str">
        <f t="shared" si="6"/>
        <v/>
      </c>
      <c r="L71" s="61" t="str">
        <f t="shared" si="7"/>
        <v/>
      </c>
      <c r="M71" s="61" t="str">
        <f t="shared" si="8"/>
        <v/>
      </c>
      <c r="N71" s="61" t="b">
        <f t="shared" si="42"/>
        <v>0</v>
      </c>
      <c r="O71" s="61" t="b">
        <f t="shared" si="43"/>
        <v>1</v>
      </c>
      <c r="P71" s="80">
        <v>1.0</v>
      </c>
      <c r="Q71" s="80">
        <v>1.0</v>
      </c>
      <c r="R71" s="80">
        <v>1.0</v>
      </c>
      <c r="S71" s="61" t="b">
        <f t="shared" si="44"/>
        <v>0</v>
      </c>
      <c r="T71" s="80">
        <v>0.0</v>
      </c>
      <c r="U71" s="80">
        <v>1.0</v>
      </c>
      <c r="W71" s="80" t="s">
        <v>1115</v>
      </c>
      <c r="X71" s="61" t="str">
        <f t="shared" si="30"/>
        <v/>
      </c>
      <c r="Y71" s="61" t="str">
        <f t="shared" si="12"/>
        <v/>
      </c>
      <c r="Z71" s="114" t="s">
        <v>1116</v>
      </c>
      <c r="AA71" s="80" t="s">
        <v>214</v>
      </c>
      <c r="AC71" s="61">
        <f>countif('Charts-SLR'!A:A,AA71)</f>
        <v>1</v>
      </c>
      <c r="AD71" s="80" t="s">
        <v>1117</v>
      </c>
      <c r="AE71" s="61">
        <f t="shared" si="13"/>
        <v>0</v>
      </c>
      <c r="AF71" s="80">
        <v>2005.0</v>
      </c>
      <c r="AG71" s="80" t="s">
        <v>268</v>
      </c>
      <c r="AH71" s="80">
        <v>28.0</v>
      </c>
      <c r="AI71" s="108">
        <f t="shared" si="14"/>
        <v>4</v>
      </c>
      <c r="AJ71" s="61" t="str">
        <f t="shared" si="15"/>
        <v/>
      </c>
      <c r="AK71" s="61" t="str">
        <f t="shared" si="16"/>
        <v/>
      </c>
      <c r="AL71" s="61" t="str">
        <f t="shared" si="17"/>
        <v/>
      </c>
      <c r="AM71" s="61" t="str">
        <f t="shared" si="18"/>
        <v/>
      </c>
      <c r="AN71" s="61">
        <f t="shared" si="19"/>
        <v>28</v>
      </c>
      <c r="AO71" s="61" t="str">
        <f t="shared" si="20"/>
        <v/>
      </c>
      <c r="AP71" s="80" t="s">
        <v>217</v>
      </c>
      <c r="AQ71" s="80" t="s">
        <v>217</v>
      </c>
      <c r="AR71" s="80" t="s">
        <v>217</v>
      </c>
      <c r="AV71" s="61">
        <f t="shared" si="21"/>
        <v>3</v>
      </c>
      <c r="AW71" s="80" t="s">
        <v>217</v>
      </c>
      <c r="BD71" s="80" t="s">
        <v>217</v>
      </c>
      <c r="BG71" s="80" t="s">
        <v>217</v>
      </c>
      <c r="BI71" s="80" t="s">
        <v>217</v>
      </c>
      <c r="BJ71" s="80" t="s">
        <v>217</v>
      </c>
      <c r="BO71" s="216" t="s">
        <v>217</v>
      </c>
      <c r="BP71" s="61">
        <f t="shared" si="33"/>
        <v>3</v>
      </c>
      <c r="BQ71" s="80" t="s">
        <v>217</v>
      </c>
      <c r="BS71" s="80" t="s">
        <v>217</v>
      </c>
      <c r="BU71" s="80" t="s">
        <v>217</v>
      </c>
      <c r="BY71" s="80" t="s">
        <v>217</v>
      </c>
      <c r="CD71" s="80" t="s">
        <v>217</v>
      </c>
      <c r="CK71" s="80" t="s">
        <v>217</v>
      </c>
      <c r="CM71" s="61">
        <f t="shared" si="22"/>
        <v>2</v>
      </c>
      <c r="CN71" s="80" t="s">
        <v>217</v>
      </c>
      <c r="CQ71" s="80" t="s">
        <v>217</v>
      </c>
      <c r="CS71" s="61">
        <f t="shared" si="23"/>
        <v>2</v>
      </c>
      <c r="CT71" s="80" t="s">
        <v>217</v>
      </c>
      <c r="CU71" s="80" t="s">
        <v>217</v>
      </c>
      <c r="CV71" s="61" t="str">
        <f t="shared" si="24"/>
        <v>both</v>
      </c>
      <c r="CW71" s="61" t="str">
        <f t="shared" si="25"/>
        <v/>
      </c>
      <c r="CX71" s="61" t="str">
        <f t="shared" si="26"/>
        <v/>
      </c>
      <c r="CY71" s="80" t="s">
        <v>217</v>
      </c>
      <c r="DG71" s="80" t="s">
        <v>217</v>
      </c>
      <c r="DH71" s="61" t="str">
        <f t="shared" si="27"/>
        <v/>
      </c>
      <c r="DI71" s="80" t="s">
        <v>217</v>
      </c>
      <c r="DK71" s="61" t="str">
        <f t="shared" si="38"/>
        <v/>
      </c>
      <c r="DL71" s="61" t="str">
        <f t="shared" si="39"/>
        <v/>
      </c>
      <c r="DM71" s="80" t="s">
        <v>217</v>
      </c>
      <c r="DZ71" s="80" t="s">
        <v>217</v>
      </c>
      <c r="EB71" s="80" t="s">
        <v>1118</v>
      </c>
      <c r="EF71" s="116"/>
      <c r="EG71" s="80" t="s">
        <v>1119</v>
      </c>
      <c r="EH71" s="80" t="s">
        <v>217</v>
      </c>
    </row>
    <row r="72" ht="1.5" customHeight="1">
      <c r="A72" s="80" t="s">
        <v>1121</v>
      </c>
      <c r="B72" s="113" t="s">
        <v>1122</v>
      </c>
      <c r="C72" s="80" t="s">
        <v>210</v>
      </c>
      <c r="D72" s="80" t="s">
        <v>1123</v>
      </c>
      <c r="E72" s="80" t="s">
        <v>217</v>
      </c>
      <c r="F72" s="80" t="s">
        <v>209</v>
      </c>
      <c r="G72" s="80" t="s">
        <v>211</v>
      </c>
      <c r="H72" s="61" t="str">
        <f t="shared" si="3"/>
        <v/>
      </c>
      <c r="I72" s="61" t="str">
        <f t="shared" si="4"/>
        <v/>
      </c>
      <c r="J72" s="61">
        <f t="shared" si="5"/>
        <v>1</v>
      </c>
      <c r="K72" s="61" t="str">
        <f t="shared" si="6"/>
        <v/>
      </c>
      <c r="L72" s="61" t="str">
        <f t="shared" si="7"/>
        <v/>
      </c>
      <c r="M72" s="61" t="str">
        <f t="shared" si="8"/>
        <v/>
      </c>
      <c r="N72" s="61" t="b">
        <f t="shared" si="42"/>
        <v>1</v>
      </c>
      <c r="O72" s="61" t="b">
        <f t="shared" si="43"/>
        <v>1</v>
      </c>
      <c r="P72" s="80">
        <v>1.0</v>
      </c>
      <c r="Q72" s="80">
        <v>1.0</v>
      </c>
      <c r="R72" s="80">
        <v>1.0</v>
      </c>
      <c r="S72" s="61" t="b">
        <f t="shared" si="44"/>
        <v>1</v>
      </c>
      <c r="T72" s="80">
        <v>0.0</v>
      </c>
      <c r="U72" s="80">
        <v>1.0</v>
      </c>
      <c r="V72" s="80">
        <v>1.0</v>
      </c>
      <c r="W72" s="115" t="s">
        <v>1124</v>
      </c>
      <c r="X72" s="61" t="str">
        <f t="shared" si="30"/>
        <v/>
      </c>
      <c r="Y72" s="61" t="str">
        <f t="shared" si="12"/>
        <v/>
      </c>
      <c r="Z72" s="114" t="s">
        <v>1125</v>
      </c>
      <c r="AA72" s="80" t="s">
        <v>464</v>
      </c>
      <c r="AC72" s="61">
        <f>countif('Charts-SLR'!A:A,AA72)</f>
        <v>1</v>
      </c>
      <c r="AD72" s="80" t="s">
        <v>1126</v>
      </c>
      <c r="AE72" s="61">
        <f t="shared" si="13"/>
        <v>0</v>
      </c>
      <c r="AF72" s="80">
        <v>2005.0</v>
      </c>
      <c r="AG72" s="80" t="s">
        <v>250</v>
      </c>
      <c r="AH72" s="80">
        <v>24.0</v>
      </c>
      <c r="AI72" s="108">
        <f t="shared" si="14"/>
        <v>3.428571429</v>
      </c>
      <c r="AJ72" s="61" t="str">
        <f t="shared" si="15"/>
        <v/>
      </c>
      <c r="AK72" s="61">
        <f t="shared" si="16"/>
        <v>24</v>
      </c>
      <c r="AL72" s="61" t="str">
        <f t="shared" si="17"/>
        <v/>
      </c>
      <c r="AM72" s="61" t="str">
        <f t="shared" si="18"/>
        <v/>
      </c>
      <c r="AN72" s="61" t="str">
        <f t="shared" si="19"/>
        <v/>
      </c>
      <c r="AO72" s="61" t="str">
        <f t="shared" si="20"/>
        <v/>
      </c>
      <c r="AP72" s="80" t="s">
        <v>217</v>
      </c>
      <c r="AQ72" s="80" t="s">
        <v>217</v>
      </c>
      <c r="AR72" s="80" t="s">
        <v>217</v>
      </c>
      <c r="AV72" s="61">
        <f t="shared" si="21"/>
        <v>3</v>
      </c>
      <c r="AX72" s="80" t="s">
        <v>217</v>
      </c>
      <c r="BD72" s="80" t="s">
        <v>217</v>
      </c>
      <c r="BG72" s="80" t="s">
        <v>217</v>
      </c>
      <c r="BI72" s="80" t="s">
        <v>217</v>
      </c>
      <c r="BN72" s="80" t="s">
        <v>217</v>
      </c>
      <c r="BO72" s="218" t="str">
        <f t="shared" ref="BO72:BO81" si="47">if(and(BM72="x",BN72="x"), "x", "")</f>
        <v/>
      </c>
      <c r="BP72" s="61">
        <f t="shared" si="33"/>
        <v>2</v>
      </c>
      <c r="BS72" s="80" t="s">
        <v>217</v>
      </c>
      <c r="BV72" s="80" t="s">
        <v>217</v>
      </c>
      <c r="CK72" s="80" t="s">
        <v>217</v>
      </c>
      <c r="CM72" s="61">
        <f t="shared" si="22"/>
        <v>1</v>
      </c>
      <c r="CQ72" s="80" t="s">
        <v>217</v>
      </c>
      <c r="CS72" s="61">
        <f t="shared" si="23"/>
        <v>1</v>
      </c>
      <c r="CT72" s="80" t="s">
        <v>217</v>
      </c>
      <c r="CU72" s="80" t="s">
        <v>217</v>
      </c>
      <c r="CV72" s="61" t="str">
        <f t="shared" si="24"/>
        <v>both</v>
      </c>
      <c r="CW72" s="61" t="str">
        <f t="shared" si="25"/>
        <v/>
      </c>
      <c r="CX72" s="61" t="str">
        <f t="shared" si="26"/>
        <v/>
      </c>
      <c r="CZ72" s="80" t="s">
        <v>217</v>
      </c>
      <c r="DG72" s="80" t="s">
        <v>217</v>
      </c>
      <c r="DH72" s="61" t="str">
        <f t="shared" si="27"/>
        <v/>
      </c>
      <c r="DI72" s="80" t="s">
        <v>217</v>
      </c>
      <c r="DK72" s="61" t="str">
        <f t="shared" si="38"/>
        <v/>
      </c>
      <c r="DL72" s="61" t="str">
        <f t="shared" si="39"/>
        <v/>
      </c>
      <c r="DP72" s="80" t="s">
        <v>217</v>
      </c>
      <c r="DT72" s="80" t="s">
        <v>217</v>
      </c>
      <c r="EB72" s="80" t="s">
        <v>1127</v>
      </c>
      <c r="ED72" s="80">
        <v>1.0</v>
      </c>
      <c r="EE72" s="126" t="s">
        <v>1128</v>
      </c>
      <c r="EF72" s="116"/>
      <c r="EG72" s="80" t="s">
        <v>1129</v>
      </c>
      <c r="EH72" s="80" t="s">
        <v>217</v>
      </c>
    </row>
    <row r="73" ht="1.5" customHeight="1">
      <c r="A73" s="80" t="s">
        <v>1131</v>
      </c>
      <c r="B73" s="113" t="s">
        <v>1132</v>
      </c>
      <c r="C73" s="80" t="s">
        <v>245</v>
      </c>
      <c r="D73" s="80" t="s">
        <v>1133</v>
      </c>
      <c r="E73" s="80" t="s">
        <v>217</v>
      </c>
      <c r="F73" s="80" t="s">
        <v>210</v>
      </c>
      <c r="G73" s="80" t="s">
        <v>211</v>
      </c>
      <c r="H73" s="61" t="str">
        <f t="shared" si="3"/>
        <v/>
      </c>
      <c r="I73" s="61" t="str">
        <f t="shared" si="4"/>
        <v/>
      </c>
      <c r="J73" s="61" t="str">
        <f t="shared" si="5"/>
        <v/>
      </c>
      <c r="K73" s="61" t="str">
        <f t="shared" si="6"/>
        <v/>
      </c>
      <c r="L73" s="61">
        <f t="shared" si="7"/>
        <v>1</v>
      </c>
      <c r="M73" s="61" t="str">
        <f t="shared" si="8"/>
        <v/>
      </c>
      <c r="N73" s="61" t="b">
        <f t="shared" si="42"/>
        <v>1</v>
      </c>
      <c r="O73" s="61" t="b">
        <f t="shared" si="43"/>
        <v>1</v>
      </c>
      <c r="P73" s="80">
        <v>1.0</v>
      </c>
      <c r="Q73" s="80">
        <v>1.0</v>
      </c>
      <c r="S73" s="61" t="b">
        <f t="shared" si="44"/>
        <v>1</v>
      </c>
      <c r="T73" s="80">
        <v>1.0</v>
      </c>
      <c r="U73" s="80">
        <v>1.0</v>
      </c>
      <c r="W73" s="80" t="s">
        <v>1134</v>
      </c>
      <c r="X73" s="61" t="str">
        <f t="shared" si="30"/>
        <v/>
      </c>
      <c r="Y73" s="61" t="str">
        <f t="shared" si="12"/>
        <v/>
      </c>
      <c r="Z73" s="114" t="s">
        <v>1135</v>
      </c>
      <c r="AA73" s="80" t="s">
        <v>1136</v>
      </c>
      <c r="AC73" s="61">
        <f>countif('Charts-SLR'!A:A,AA73)</f>
        <v>1</v>
      </c>
      <c r="AD73" s="80" t="s">
        <v>591</v>
      </c>
      <c r="AE73" s="61">
        <f t="shared" si="13"/>
        <v>0</v>
      </c>
      <c r="AF73" s="80">
        <v>2006.0</v>
      </c>
      <c r="AG73" s="80" t="s">
        <v>250</v>
      </c>
      <c r="AH73" s="80">
        <v>14.0</v>
      </c>
      <c r="AI73" s="108">
        <f t="shared" si="14"/>
        <v>2.333333333</v>
      </c>
      <c r="AJ73" s="61" t="str">
        <f t="shared" si="15"/>
        <v/>
      </c>
      <c r="AK73" s="61">
        <f t="shared" si="16"/>
        <v>14</v>
      </c>
      <c r="AL73" s="61" t="str">
        <f t="shared" si="17"/>
        <v/>
      </c>
      <c r="AM73" s="61" t="str">
        <f t="shared" si="18"/>
        <v/>
      </c>
      <c r="AN73" s="61" t="str">
        <f t="shared" si="19"/>
        <v/>
      </c>
      <c r="AO73" s="61" t="str">
        <f t="shared" si="20"/>
        <v>Hao:icwe06, </v>
      </c>
      <c r="AU73" s="80" t="s">
        <v>217</v>
      </c>
      <c r="AV73" s="61">
        <f t="shared" si="21"/>
        <v>1</v>
      </c>
      <c r="AX73" s="80" t="s">
        <v>217</v>
      </c>
      <c r="BD73" s="80" t="s">
        <v>217</v>
      </c>
      <c r="BE73" s="80" t="s">
        <v>217</v>
      </c>
      <c r="BG73" s="80" t="s">
        <v>217</v>
      </c>
      <c r="BL73" s="80" t="s">
        <v>1137</v>
      </c>
      <c r="BN73" s="80" t="s">
        <v>217</v>
      </c>
      <c r="BO73" s="218" t="str">
        <f t="shared" si="47"/>
        <v/>
      </c>
      <c r="BP73" s="61">
        <f t="shared" si="33"/>
        <v>2</v>
      </c>
      <c r="BS73" s="80" t="s">
        <v>217</v>
      </c>
      <c r="BV73" s="80" t="s">
        <v>217</v>
      </c>
      <c r="BX73" s="80" t="s">
        <v>217</v>
      </c>
      <c r="CL73" s="80" t="s">
        <v>217</v>
      </c>
      <c r="CM73" s="61">
        <f t="shared" si="22"/>
        <v>1</v>
      </c>
      <c r="CO73" s="80" t="s">
        <v>217</v>
      </c>
      <c r="CS73" s="61">
        <f t="shared" si="23"/>
        <v>1</v>
      </c>
      <c r="CT73" s="80" t="s">
        <v>217</v>
      </c>
      <c r="CV73" s="61" t="str">
        <f t="shared" si="24"/>
        <v/>
      </c>
      <c r="CW73" s="61" t="str">
        <f t="shared" si="25"/>
        <v>FM</v>
      </c>
      <c r="CX73" s="61" t="str">
        <f t="shared" si="26"/>
        <v/>
      </c>
      <c r="DE73" s="80" t="s">
        <v>1411</v>
      </c>
      <c r="DF73" s="80" t="s">
        <v>217</v>
      </c>
      <c r="DH73" s="61" t="str">
        <f t="shared" si="27"/>
        <v/>
      </c>
      <c r="DI73" s="80" t="s">
        <v>217</v>
      </c>
      <c r="DK73" s="61" t="str">
        <f t="shared" si="38"/>
        <v/>
      </c>
      <c r="DL73" s="61" t="str">
        <f t="shared" si="39"/>
        <v/>
      </c>
      <c r="DM73" s="80" t="s">
        <v>217</v>
      </c>
      <c r="DZ73" s="80" t="s">
        <v>217</v>
      </c>
      <c r="ED73" s="80">
        <v>1.0</v>
      </c>
      <c r="EE73" s="80" t="s">
        <v>1142</v>
      </c>
      <c r="EF73" s="116"/>
    </row>
    <row r="74" ht="1.5" customHeight="1">
      <c r="A74" s="80" t="s">
        <v>1154</v>
      </c>
      <c r="B74" s="113" t="s">
        <v>1155</v>
      </c>
      <c r="C74" s="80" t="s">
        <v>210</v>
      </c>
      <c r="D74" s="80" t="s">
        <v>1156</v>
      </c>
      <c r="E74" s="80" t="s">
        <v>217</v>
      </c>
      <c r="F74" s="80" t="s">
        <v>209</v>
      </c>
      <c r="G74" s="80" t="s">
        <v>211</v>
      </c>
      <c r="H74" s="61" t="str">
        <f t="shared" si="3"/>
        <v/>
      </c>
      <c r="I74" s="61" t="str">
        <f t="shared" si="4"/>
        <v/>
      </c>
      <c r="J74" s="61">
        <f t="shared" si="5"/>
        <v>1</v>
      </c>
      <c r="K74" s="61" t="str">
        <f t="shared" si="6"/>
        <v/>
      </c>
      <c r="L74" s="61" t="str">
        <f t="shared" si="7"/>
        <v/>
      </c>
      <c r="M74" s="61" t="str">
        <f t="shared" si="8"/>
        <v/>
      </c>
      <c r="N74" s="61" t="b">
        <f t="shared" si="42"/>
        <v>1</v>
      </c>
      <c r="O74" s="61" t="b">
        <f t="shared" si="43"/>
        <v>1</v>
      </c>
      <c r="P74" s="80">
        <v>1.0</v>
      </c>
      <c r="Q74" s="80">
        <v>1.0</v>
      </c>
      <c r="R74" s="80">
        <v>1.0</v>
      </c>
      <c r="S74" s="61" t="b">
        <f t="shared" si="44"/>
        <v>1</v>
      </c>
      <c r="T74" s="80">
        <v>1.0</v>
      </c>
      <c r="U74" s="80">
        <v>1.0</v>
      </c>
      <c r="V74" s="80">
        <v>1.0</v>
      </c>
      <c r="W74" s="80" t="s">
        <v>1157</v>
      </c>
      <c r="X74" s="61" t="str">
        <f t="shared" si="30"/>
        <v/>
      </c>
      <c r="Y74" s="61" t="str">
        <f t="shared" si="12"/>
        <v/>
      </c>
      <c r="Z74" s="114" t="s">
        <v>1158</v>
      </c>
      <c r="AA74" s="80" t="s">
        <v>214</v>
      </c>
      <c r="AC74" s="61">
        <f>countif('Charts-SLR'!A:A,AA74)</f>
        <v>1</v>
      </c>
      <c r="AD74" s="80" t="s">
        <v>1159</v>
      </c>
      <c r="AE74" s="61">
        <f t="shared" si="13"/>
        <v>0</v>
      </c>
      <c r="AF74" s="80">
        <v>2011.0</v>
      </c>
      <c r="AG74" s="80" t="s">
        <v>231</v>
      </c>
      <c r="AH74" s="80">
        <v>4.0</v>
      </c>
      <c r="AI74" s="108">
        <f t="shared" si="14"/>
        <v>4</v>
      </c>
      <c r="AJ74" s="61">
        <f t="shared" si="15"/>
        <v>4</v>
      </c>
      <c r="AK74" s="61" t="str">
        <f t="shared" si="16"/>
        <v/>
      </c>
      <c r="AL74" s="61" t="str">
        <f t="shared" si="17"/>
        <v/>
      </c>
      <c r="AM74" s="61" t="str">
        <f t="shared" si="18"/>
        <v/>
      </c>
      <c r="AN74" s="61" t="str">
        <f t="shared" si="19"/>
        <v/>
      </c>
      <c r="AO74" s="61" t="str">
        <f t="shared" si="20"/>
        <v/>
      </c>
      <c r="AP74" s="80" t="s">
        <v>217</v>
      </c>
      <c r="AQ74" s="80" t="s">
        <v>217</v>
      </c>
      <c r="AR74" s="80" t="s">
        <v>217</v>
      </c>
      <c r="AS74" s="80" t="s">
        <v>217</v>
      </c>
      <c r="AV74" s="61">
        <f t="shared" si="21"/>
        <v>4</v>
      </c>
      <c r="AY74" s="80" t="s">
        <v>217</v>
      </c>
      <c r="BD74" s="80" t="s">
        <v>217</v>
      </c>
      <c r="BF74" s="80" t="s">
        <v>217</v>
      </c>
      <c r="BG74" s="80" t="s">
        <v>217</v>
      </c>
      <c r="BM74" s="80" t="s">
        <v>217</v>
      </c>
      <c r="BO74" s="218" t="str">
        <f t="shared" si="47"/>
        <v/>
      </c>
      <c r="BP74" s="61">
        <f t="shared" si="33"/>
        <v>1</v>
      </c>
      <c r="BQ74" s="80" t="s">
        <v>217</v>
      </c>
      <c r="BY74" s="80" t="s">
        <v>217</v>
      </c>
      <c r="CA74" s="80" t="s">
        <v>187</v>
      </c>
      <c r="CI74" s="80" t="s">
        <v>217</v>
      </c>
      <c r="CM74" s="61">
        <f t="shared" si="22"/>
        <v>1</v>
      </c>
      <c r="CO74" s="80" t="s">
        <v>217</v>
      </c>
      <c r="CS74" s="61">
        <f t="shared" si="23"/>
        <v>1</v>
      </c>
      <c r="CT74" s="80" t="s">
        <v>217</v>
      </c>
      <c r="CU74" s="80" t="s">
        <v>217</v>
      </c>
      <c r="CV74" s="61" t="str">
        <f t="shared" si="24"/>
        <v>both</v>
      </c>
      <c r="CW74" s="61" t="str">
        <f t="shared" si="25"/>
        <v/>
      </c>
      <c r="CX74" s="61" t="str">
        <f t="shared" si="26"/>
        <v/>
      </c>
      <c r="CY74" s="80" t="s">
        <v>217</v>
      </c>
      <c r="CZ74" s="80" t="s">
        <v>217</v>
      </c>
      <c r="DG74" s="80" t="s">
        <v>217</v>
      </c>
      <c r="DH74" s="61" t="str">
        <f t="shared" si="27"/>
        <v/>
      </c>
      <c r="DJ74" s="80" t="s">
        <v>217</v>
      </c>
      <c r="DK74" s="61" t="str">
        <f t="shared" si="38"/>
        <v/>
      </c>
      <c r="DL74" s="61" t="str">
        <f t="shared" si="39"/>
        <v/>
      </c>
      <c r="DN74" s="80" t="s">
        <v>217</v>
      </c>
      <c r="DO74" s="80" t="s">
        <v>217</v>
      </c>
      <c r="DT74" s="80" t="s">
        <v>217</v>
      </c>
      <c r="EA74" s="80" t="s">
        <v>1164</v>
      </c>
      <c r="EB74" s="80" t="s">
        <v>1165</v>
      </c>
      <c r="EC74" s="80" t="s">
        <v>217</v>
      </c>
      <c r="ED74" s="80">
        <v>2.0</v>
      </c>
      <c r="EE74" s="80" t="s">
        <v>1166</v>
      </c>
      <c r="EF74" s="112">
        <v>212000.0</v>
      </c>
      <c r="EI74" s="80" t="s">
        <v>217</v>
      </c>
      <c r="EJ74" s="80" t="s">
        <v>217</v>
      </c>
    </row>
    <row r="75" ht="1.5" customHeight="1">
      <c r="A75" s="80" t="s">
        <v>1168</v>
      </c>
      <c r="B75" s="113" t="s">
        <v>1169</v>
      </c>
      <c r="C75" s="80" t="s">
        <v>209</v>
      </c>
      <c r="D75" s="80" t="s">
        <v>1170</v>
      </c>
      <c r="E75" s="80" t="s">
        <v>217</v>
      </c>
      <c r="F75" s="80" t="s">
        <v>245</v>
      </c>
      <c r="G75" s="80" t="s">
        <v>211</v>
      </c>
      <c r="H75" s="61" t="str">
        <f t="shared" si="3"/>
        <v/>
      </c>
      <c r="I75" s="61">
        <f t="shared" si="4"/>
        <v>1</v>
      </c>
      <c r="J75" s="61" t="str">
        <f t="shared" si="5"/>
        <v/>
      </c>
      <c r="K75" s="61" t="str">
        <f t="shared" si="6"/>
        <v/>
      </c>
      <c r="L75" s="61" t="str">
        <f t="shared" si="7"/>
        <v/>
      </c>
      <c r="M75" s="61" t="str">
        <f t="shared" si="8"/>
        <v/>
      </c>
      <c r="N75" s="61" t="b">
        <f t="shared" si="42"/>
        <v>1</v>
      </c>
      <c r="O75" s="61" t="b">
        <f t="shared" si="43"/>
        <v>1</v>
      </c>
      <c r="P75" s="80">
        <v>1.0</v>
      </c>
      <c r="Q75" s="80">
        <v>1.0</v>
      </c>
      <c r="R75" s="80">
        <v>1.0</v>
      </c>
      <c r="S75" s="61" t="b">
        <f t="shared" si="44"/>
        <v>1</v>
      </c>
      <c r="T75" s="80">
        <v>1.0</v>
      </c>
      <c r="U75" s="80">
        <v>1.0</v>
      </c>
      <c r="V75" s="80">
        <v>1.0</v>
      </c>
      <c r="X75" s="61" t="str">
        <f t="shared" si="30"/>
        <v/>
      </c>
      <c r="Y75" s="61" t="str">
        <f t="shared" si="12"/>
        <v/>
      </c>
      <c r="Z75" s="114" t="s">
        <v>1171</v>
      </c>
      <c r="AA75" s="80" t="s">
        <v>266</v>
      </c>
      <c r="AC75" s="61">
        <f>countif('Charts-SLR'!A:A,AA75)</f>
        <v>1</v>
      </c>
      <c r="AD75" s="80" t="s">
        <v>450</v>
      </c>
      <c r="AE75" s="61">
        <f t="shared" si="13"/>
        <v>0</v>
      </c>
      <c r="AF75" s="80">
        <v>2004.0</v>
      </c>
      <c r="AG75" s="80" t="s">
        <v>250</v>
      </c>
      <c r="AH75" s="80">
        <v>31.0</v>
      </c>
      <c r="AI75" s="108">
        <f t="shared" si="14"/>
        <v>3.875</v>
      </c>
      <c r="AJ75" s="61" t="str">
        <f t="shared" si="15"/>
        <v/>
      </c>
      <c r="AK75" s="61">
        <f t="shared" si="16"/>
        <v>31</v>
      </c>
      <c r="AL75" s="61" t="str">
        <f t="shared" si="17"/>
        <v/>
      </c>
      <c r="AM75" s="61" t="str">
        <f t="shared" si="18"/>
        <v/>
      </c>
      <c r="AN75" s="61" t="str">
        <f t="shared" si="19"/>
        <v/>
      </c>
      <c r="AO75" s="61" t="str">
        <f t="shared" si="20"/>
        <v/>
      </c>
      <c r="AP75" s="80" t="s">
        <v>217</v>
      </c>
      <c r="AQ75" s="80" t="s">
        <v>217</v>
      </c>
      <c r="AR75" s="80" t="s">
        <v>217</v>
      </c>
      <c r="AV75" s="61">
        <f t="shared" si="21"/>
        <v>3</v>
      </c>
      <c r="AW75" s="80" t="s">
        <v>217</v>
      </c>
      <c r="BD75" s="80" t="s">
        <v>217</v>
      </c>
      <c r="BE75" s="80" t="s">
        <v>217</v>
      </c>
      <c r="BI75" s="80" t="s">
        <v>217</v>
      </c>
      <c r="BJ75" s="80" t="s">
        <v>217</v>
      </c>
      <c r="BL75" s="80" t="s">
        <v>217</v>
      </c>
      <c r="BN75" s="80" t="s">
        <v>217</v>
      </c>
      <c r="BO75" s="218" t="str">
        <f t="shared" si="47"/>
        <v/>
      </c>
      <c r="BP75" s="61">
        <f t="shared" si="33"/>
        <v>2</v>
      </c>
      <c r="BS75" s="80" t="s">
        <v>217</v>
      </c>
      <c r="BT75" s="80" t="s">
        <v>217</v>
      </c>
      <c r="BU75" s="80" t="s">
        <v>217</v>
      </c>
      <c r="BY75" s="80" t="s">
        <v>217</v>
      </c>
      <c r="CD75" s="80" t="s">
        <v>217</v>
      </c>
      <c r="CH75" s="80" t="s">
        <v>217</v>
      </c>
      <c r="CM75" s="61">
        <f t="shared" si="22"/>
        <v>2</v>
      </c>
      <c r="CR75" s="114" t="s">
        <v>217</v>
      </c>
      <c r="CS75" s="61">
        <f t="shared" si="23"/>
        <v>1</v>
      </c>
      <c r="CU75" s="80" t="s">
        <v>217</v>
      </c>
      <c r="CV75" s="61" t="str">
        <f t="shared" si="24"/>
        <v/>
      </c>
      <c r="CW75" s="61" t="str">
        <f t="shared" si="25"/>
        <v/>
      </c>
      <c r="CX75" s="61" t="str">
        <f t="shared" si="26"/>
        <v>FA</v>
      </c>
      <c r="DE75" s="123"/>
      <c r="DG75" s="80" t="s">
        <v>217</v>
      </c>
      <c r="DH75" s="61" t="str">
        <f t="shared" si="27"/>
        <v/>
      </c>
      <c r="DI75" s="80" t="s">
        <v>217</v>
      </c>
      <c r="DK75" s="61" t="str">
        <f t="shared" si="38"/>
        <v/>
      </c>
      <c r="DL75" s="61" t="str">
        <f t="shared" si="39"/>
        <v/>
      </c>
      <c r="DP75" s="80" t="s">
        <v>217</v>
      </c>
      <c r="DZ75" s="80" t="s">
        <v>217</v>
      </c>
      <c r="EA75" s="80" t="s">
        <v>1172</v>
      </c>
      <c r="ED75" s="80">
        <v>1.0</v>
      </c>
      <c r="EE75" s="80" t="s">
        <v>1173</v>
      </c>
      <c r="EF75" s="116"/>
      <c r="EI75" s="80" t="s">
        <v>217</v>
      </c>
    </row>
    <row r="76" ht="1.5" customHeight="1">
      <c r="A76" s="80" t="s">
        <v>1175</v>
      </c>
      <c r="B76" s="113" t="s">
        <v>1176</v>
      </c>
      <c r="C76" s="80" t="s">
        <v>245</v>
      </c>
      <c r="D76" s="80" t="s">
        <v>1177</v>
      </c>
      <c r="E76" s="80" t="s">
        <v>217</v>
      </c>
      <c r="F76" s="80" t="s">
        <v>210</v>
      </c>
      <c r="G76" s="80" t="s">
        <v>211</v>
      </c>
      <c r="H76" s="61" t="str">
        <f t="shared" si="3"/>
        <v/>
      </c>
      <c r="I76" s="61" t="str">
        <f t="shared" si="4"/>
        <v/>
      </c>
      <c r="J76" s="61" t="str">
        <f t="shared" si="5"/>
        <v/>
      </c>
      <c r="K76" s="61" t="str">
        <f t="shared" si="6"/>
        <v/>
      </c>
      <c r="L76" s="61">
        <f t="shared" si="7"/>
        <v>1</v>
      </c>
      <c r="M76" s="61" t="str">
        <f t="shared" si="8"/>
        <v/>
      </c>
      <c r="N76" s="61" t="b">
        <f t="shared" si="42"/>
        <v>1</v>
      </c>
      <c r="O76" s="61" t="b">
        <f t="shared" si="43"/>
        <v>1</v>
      </c>
      <c r="P76" s="80">
        <v>1.0</v>
      </c>
      <c r="Q76" s="80">
        <v>1.0</v>
      </c>
      <c r="R76" s="80">
        <v>1.0</v>
      </c>
      <c r="S76" s="61" t="b">
        <f t="shared" si="44"/>
        <v>1</v>
      </c>
      <c r="T76" s="80">
        <v>1.0</v>
      </c>
      <c r="U76" s="216">
        <v>0.0</v>
      </c>
      <c r="V76" s="216">
        <v>1.0</v>
      </c>
      <c r="X76" s="61" t="str">
        <f t="shared" si="30"/>
        <v/>
      </c>
      <c r="Y76" s="61" t="str">
        <f t="shared" si="12"/>
        <v>Benedikt:www02, </v>
      </c>
      <c r="Z76" s="114" t="s">
        <v>1178</v>
      </c>
      <c r="AA76" s="80" t="s">
        <v>266</v>
      </c>
      <c r="AC76" s="61">
        <f>countif('Charts-SLR'!A:A,AA76)</f>
        <v>1</v>
      </c>
      <c r="AD76" s="80" t="s">
        <v>1037</v>
      </c>
      <c r="AE76" s="61">
        <f t="shared" si="13"/>
        <v>0</v>
      </c>
      <c r="AF76" s="80">
        <v>2002.0</v>
      </c>
      <c r="AG76" s="80" t="s">
        <v>250</v>
      </c>
      <c r="AH76" s="80">
        <v>2.0</v>
      </c>
      <c r="AI76" s="108">
        <f t="shared" si="14"/>
        <v>0.2</v>
      </c>
      <c r="AJ76" s="61" t="str">
        <f t="shared" si="15"/>
        <v/>
      </c>
      <c r="AK76" s="61">
        <f t="shared" si="16"/>
        <v>2</v>
      </c>
      <c r="AL76" s="61" t="str">
        <f t="shared" si="17"/>
        <v/>
      </c>
      <c r="AM76" s="61" t="str">
        <f t="shared" si="18"/>
        <v/>
      </c>
      <c r="AN76" s="61" t="str">
        <f t="shared" si="19"/>
        <v/>
      </c>
      <c r="AO76" s="61" t="str">
        <f t="shared" si="20"/>
        <v/>
      </c>
      <c r="AP76" s="80" t="s">
        <v>217</v>
      </c>
      <c r="AQ76" s="80" t="s">
        <v>217</v>
      </c>
      <c r="AV76" s="61">
        <f t="shared" si="21"/>
        <v>2</v>
      </c>
      <c r="AW76" s="80" t="s">
        <v>217</v>
      </c>
      <c r="BD76" s="80" t="s">
        <v>217</v>
      </c>
      <c r="BF76" s="80" t="s">
        <v>217</v>
      </c>
      <c r="BI76" s="80" t="s">
        <v>217</v>
      </c>
      <c r="BJ76" s="80" t="s">
        <v>217</v>
      </c>
      <c r="BM76" s="80" t="s">
        <v>217</v>
      </c>
      <c r="BO76" s="218" t="str">
        <f t="shared" si="47"/>
        <v/>
      </c>
      <c r="BP76" s="61">
        <f t="shared" si="33"/>
        <v>1</v>
      </c>
      <c r="BS76" s="80" t="s">
        <v>217</v>
      </c>
      <c r="BY76" s="80" t="s">
        <v>217</v>
      </c>
      <c r="CF76" s="80" t="s">
        <v>217</v>
      </c>
      <c r="CM76" s="61">
        <f t="shared" si="22"/>
        <v>1</v>
      </c>
      <c r="CN76" s="80" t="s">
        <v>217</v>
      </c>
      <c r="CS76" s="61">
        <f t="shared" si="23"/>
        <v>1</v>
      </c>
      <c r="CU76" s="80" t="s">
        <v>217</v>
      </c>
      <c r="CV76" s="61" t="str">
        <f t="shared" si="24"/>
        <v/>
      </c>
      <c r="CW76" s="61" t="str">
        <f t="shared" si="25"/>
        <v/>
      </c>
      <c r="CX76" s="61" t="str">
        <f t="shared" si="26"/>
        <v>FA</v>
      </c>
      <c r="DG76" s="80" t="s">
        <v>217</v>
      </c>
      <c r="DH76" s="61" t="str">
        <f t="shared" si="27"/>
        <v/>
      </c>
      <c r="DI76" s="80" t="s">
        <v>217</v>
      </c>
      <c r="DK76" s="61" t="str">
        <f t="shared" si="38"/>
        <v/>
      </c>
      <c r="DL76" s="61" t="str">
        <f t="shared" si="39"/>
        <v/>
      </c>
      <c r="DM76" s="80" t="s">
        <v>217</v>
      </c>
      <c r="DO76" s="80" t="s">
        <v>217</v>
      </c>
      <c r="DY76" s="80" t="s">
        <v>217</v>
      </c>
      <c r="EB76" s="80" t="s">
        <v>1179</v>
      </c>
      <c r="ED76" s="80">
        <v>2.0</v>
      </c>
      <c r="EE76" s="80" t="s">
        <v>1180</v>
      </c>
      <c r="EF76" s="116"/>
      <c r="EJ76" s="80" t="s">
        <v>217</v>
      </c>
    </row>
    <row r="77" ht="1.5" customHeight="1">
      <c r="A77" s="80" t="s">
        <v>1188</v>
      </c>
      <c r="B77" s="113" t="s">
        <v>1189</v>
      </c>
      <c r="C77" s="80" t="s">
        <v>209</v>
      </c>
      <c r="D77" s="80" t="s">
        <v>1190</v>
      </c>
      <c r="E77" s="80" t="s">
        <v>217</v>
      </c>
      <c r="F77" s="80" t="s">
        <v>245</v>
      </c>
      <c r="G77" s="80" t="s">
        <v>211</v>
      </c>
      <c r="H77" s="61" t="str">
        <f t="shared" si="3"/>
        <v/>
      </c>
      <c r="I77" s="61">
        <f t="shared" si="4"/>
        <v>1</v>
      </c>
      <c r="J77" s="61" t="str">
        <f t="shared" si="5"/>
        <v/>
      </c>
      <c r="K77" s="61" t="str">
        <f t="shared" si="6"/>
        <v/>
      </c>
      <c r="L77" s="61" t="str">
        <f t="shared" si="7"/>
        <v/>
      </c>
      <c r="M77" s="61" t="str">
        <f t="shared" si="8"/>
        <v/>
      </c>
      <c r="N77" s="61" t="b">
        <f t="shared" si="42"/>
        <v>1</v>
      </c>
      <c r="O77" s="61" t="b">
        <f t="shared" si="43"/>
        <v>1</v>
      </c>
      <c r="P77" s="80">
        <v>1.0</v>
      </c>
      <c r="Q77" s="80">
        <v>1.0</v>
      </c>
      <c r="R77" s="80">
        <v>1.0</v>
      </c>
      <c r="S77" s="61" t="b">
        <f t="shared" si="44"/>
        <v>1</v>
      </c>
      <c r="T77" s="80">
        <v>1.0</v>
      </c>
      <c r="U77" s="80">
        <v>0.0</v>
      </c>
      <c r="V77" s="80">
        <v>1.0</v>
      </c>
      <c r="X77" s="61" t="str">
        <f t="shared" si="30"/>
        <v/>
      </c>
      <c r="Y77" s="61" t="str">
        <f t="shared" si="12"/>
        <v/>
      </c>
      <c r="Z77" s="114" t="s">
        <v>213</v>
      </c>
      <c r="AA77" s="80" t="s">
        <v>214</v>
      </c>
      <c r="AC77" s="61">
        <f>countif('Charts-SLR'!A:A,AA77)</f>
        <v>1</v>
      </c>
      <c r="AD77" s="80" t="s">
        <v>450</v>
      </c>
      <c r="AE77" s="61">
        <f t="shared" si="13"/>
        <v>0</v>
      </c>
      <c r="AF77" s="80">
        <v>2005.0</v>
      </c>
      <c r="AG77" s="80" t="s">
        <v>231</v>
      </c>
      <c r="AH77" s="80">
        <v>12.0</v>
      </c>
      <c r="AI77" s="108">
        <f t="shared" si="14"/>
        <v>1.714285714</v>
      </c>
      <c r="AJ77" s="61">
        <f t="shared" si="15"/>
        <v>12</v>
      </c>
      <c r="AK77" s="61" t="str">
        <f t="shared" si="16"/>
        <v/>
      </c>
      <c r="AL77" s="61" t="str">
        <f t="shared" si="17"/>
        <v/>
      </c>
      <c r="AM77" s="61" t="str">
        <f t="shared" si="18"/>
        <v/>
      </c>
      <c r="AN77" s="61" t="str">
        <f t="shared" si="19"/>
        <v/>
      </c>
      <c r="AO77" s="61" t="str">
        <f t="shared" si="20"/>
        <v/>
      </c>
      <c r="AP77" s="80" t="s">
        <v>217</v>
      </c>
      <c r="AV77" s="61">
        <f t="shared" si="21"/>
        <v>1</v>
      </c>
      <c r="AW77" s="80" t="s">
        <v>217</v>
      </c>
      <c r="BD77" s="80" t="s">
        <v>217</v>
      </c>
      <c r="BL77" s="80" t="s">
        <v>1191</v>
      </c>
      <c r="BN77" s="80" t="s">
        <v>217</v>
      </c>
      <c r="BO77" s="218" t="str">
        <f t="shared" si="47"/>
        <v/>
      </c>
      <c r="BP77" s="61">
        <f t="shared" si="33"/>
        <v>2</v>
      </c>
      <c r="BR77" s="80" t="s">
        <v>217</v>
      </c>
      <c r="BT77" s="80" t="s">
        <v>217</v>
      </c>
      <c r="CE77" s="80" t="s">
        <v>217</v>
      </c>
      <c r="CM77" s="61">
        <f t="shared" si="22"/>
        <v>1</v>
      </c>
      <c r="CS77" s="61">
        <f t="shared" si="23"/>
        <v>0</v>
      </c>
      <c r="CU77" s="80" t="s">
        <v>217</v>
      </c>
      <c r="CV77" s="61" t="str">
        <f t="shared" si="24"/>
        <v/>
      </c>
      <c r="CW77" s="61" t="str">
        <f t="shared" si="25"/>
        <v/>
      </c>
      <c r="CX77" s="61" t="str">
        <f t="shared" si="26"/>
        <v>FA</v>
      </c>
      <c r="DA77" s="80" t="s">
        <v>217</v>
      </c>
      <c r="DG77" s="80" t="s">
        <v>217</v>
      </c>
      <c r="DH77" s="61" t="str">
        <f t="shared" si="27"/>
        <v/>
      </c>
      <c r="DI77" s="80" t="s">
        <v>217</v>
      </c>
      <c r="DK77" s="61" t="str">
        <f t="shared" si="38"/>
        <v/>
      </c>
      <c r="DL77" s="61" t="str">
        <f t="shared" si="39"/>
        <v/>
      </c>
      <c r="DO77" s="80" t="s">
        <v>217</v>
      </c>
      <c r="DS77" s="80" t="s">
        <v>217</v>
      </c>
      <c r="ED77" s="80">
        <v>11.0</v>
      </c>
      <c r="EE77" s="80" t="s">
        <v>1192</v>
      </c>
      <c r="EF77" s="112">
        <v>255938.0</v>
      </c>
      <c r="EH77" s="80" t="s">
        <v>217</v>
      </c>
    </row>
    <row r="78" ht="1.5" customHeight="1">
      <c r="A78" s="80" t="s">
        <v>1194</v>
      </c>
      <c r="B78" s="113" t="s">
        <v>1195</v>
      </c>
      <c r="C78" s="80" t="s">
        <v>210</v>
      </c>
      <c r="D78" s="80" t="s">
        <v>1196</v>
      </c>
      <c r="E78" s="80" t="s">
        <v>217</v>
      </c>
      <c r="F78" s="80" t="s">
        <v>245</v>
      </c>
      <c r="G78" s="80" t="s">
        <v>211</v>
      </c>
      <c r="H78" s="61" t="str">
        <f t="shared" si="3"/>
        <v/>
      </c>
      <c r="I78" s="61" t="str">
        <f t="shared" si="4"/>
        <v/>
      </c>
      <c r="J78" s="61" t="str">
        <f t="shared" si="5"/>
        <v/>
      </c>
      <c r="K78" s="61">
        <f t="shared" si="6"/>
        <v>1</v>
      </c>
      <c r="L78" s="61" t="str">
        <f t="shared" si="7"/>
        <v/>
      </c>
      <c r="M78" s="61" t="str">
        <f t="shared" si="8"/>
        <v/>
      </c>
      <c r="N78" s="61" t="b">
        <f t="shared" si="42"/>
        <v>1</v>
      </c>
      <c r="O78" s="61" t="b">
        <f t="shared" si="43"/>
        <v>1</v>
      </c>
      <c r="P78" s="80">
        <v>1.0</v>
      </c>
      <c r="Q78" s="80">
        <v>1.0</v>
      </c>
      <c r="R78" s="80">
        <v>1.0</v>
      </c>
      <c r="S78" s="61" t="b">
        <f t="shared" si="44"/>
        <v>1</v>
      </c>
      <c r="T78" s="80">
        <v>1.0</v>
      </c>
      <c r="U78" s="80">
        <v>1.0</v>
      </c>
      <c r="V78" s="80">
        <v>1.0</v>
      </c>
      <c r="X78" s="61" t="str">
        <f t="shared" si="30"/>
        <v>Sampath:issre06, </v>
      </c>
      <c r="Y78" s="61" t="str">
        <f t="shared" si="12"/>
        <v/>
      </c>
      <c r="Z78" s="114" t="s">
        <v>360</v>
      </c>
      <c r="AA78" s="80" t="s">
        <v>266</v>
      </c>
      <c r="AC78" s="61">
        <f>countif('Charts-SLR'!A:A,AA78)</f>
        <v>1</v>
      </c>
      <c r="AD78" s="80" t="s">
        <v>413</v>
      </c>
      <c r="AE78" s="61">
        <f t="shared" si="13"/>
        <v>0</v>
      </c>
      <c r="AF78" s="80">
        <v>2006.0</v>
      </c>
      <c r="AG78" s="80" t="s">
        <v>268</v>
      </c>
      <c r="AH78" s="80">
        <v>15.0</v>
      </c>
      <c r="AI78" s="108">
        <f t="shared" si="14"/>
        <v>2.5</v>
      </c>
      <c r="AJ78" s="61" t="str">
        <f t="shared" si="15"/>
        <v/>
      </c>
      <c r="AK78" s="61" t="str">
        <f t="shared" si="16"/>
        <v/>
      </c>
      <c r="AL78" s="61" t="str">
        <f t="shared" si="17"/>
        <v/>
      </c>
      <c r="AM78" s="61" t="str">
        <f t="shared" si="18"/>
        <v/>
      </c>
      <c r="AN78" s="61">
        <f t="shared" si="19"/>
        <v>15</v>
      </c>
      <c r="AO78" s="61" t="str">
        <f t="shared" si="20"/>
        <v>Sampath:issre06, </v>
      </c>
      <c r="AU78" s="80" t="s">
        <v>217</v>
      </c>
      <c r="AV78" s="61">
        <f t="shared" si="21"/>
        <v>1</v>
      </c>
      <c r="AY78" s="80" t="s">
        <v>217</v>
      </c>
      <c r="BD78" s="80" t="s">
        <v>217</v>
      </c>
      <c r="BG78" s="80" t="s">
        <v>217</v>
      </c>
      <c r="BL78" s="80" t="s">
        <v>217</v>
      </c>
      <c r="BN78" s="80" t="s">
        <v>217</v>
      </c>
      <c r="BO78" s="218" t="str">
        <f t="shared" si="47"/>
        <v/>
      </c>
      <c r="BP78" s="61">
        <f t="shared" si="33"/>
        <v>2</v>
      </c>
      <c r="BQ78" s="80" t="s">
        <v>217</v>
      </c>
      <c r="BV78" s="80" t="s">
        <v>217</v>
      </c>
      <c r="BX78" s="80" t="s">
        <v>217</v>
      </c>
      <c r="CB78" s="80" t="s">
        <v>217</v>
      </c>
      <c r="CM78" s="61">
        <f t="shared" si="22"/>
        <v>1</v>
      </c>
      <c r="CO78" s="80" t="s">
        <v>217</v>
      </c>
      <c r="CS78" s="61">
        <f t="shared" si="23"/>
        <v>1</v>
      </c>
      <c r="CT78" s="80" t="s">
        <v>217</v>
      </c>
      <c r="CV78" s="61" t="str">
        <f t="shared" si="24"/>
        <v/>
      </c>
      <c r="CW78" s="61" t="str">
        <f t="shared" si="25"/>
        <v>FM</v>
      </c>
      <c r="CX78" s="61" t="str">
        <f t="shared" si="26"/>
        <v/>
      </c>
      <c r="CY78" s="80" t="s">
        <v>217</v>
      </c>
      <c r="CZ78" s="80" t="s">
        <v>217</v>
      </c>
      <c r="DE78" s="80" t="s">
        <v>1378</v>
      </c>
      <c r="DG78" s="80" t="s">
        <v>217</v>
      </c>
      <c r="DH78" s="61" t="str">
        <f t="shared" si="27"/>
        <v/>
      </c>
      <c r="DJ78" s="80" t="s">
        <v>217</v>
      </c>
      <c r="DK78" s="61" t="str">
        <f t="shared" si="38"/>
        <v/>
      </c>
      <c r="DL78" s="61" t="str">
        <f t="shared" si="39"/>
        <v/>
      </c>
      <c r="DQ78" s="80" t="s">
        <v>217</v>
      </c>
      <c r="DT78" s="80" t="s">
        <v>217</v>
      </c>
      <c r="ED78" s="80">
        <v>4.0</v>
      </c>
      <c r="EE78" s="80" t="s">
        <v>1202</v>
      </c>
      <c r="EF78" s="112">
        <v>79466.0</v>
      </c>
      <c r="EI78" s="80" t="s">
        <v>217</v>
      </c>
      <c r="EJ78" s="80" t="s">
        <v>217</v>
      </c>
    </row>
    <row r="79" ht="1.5" customHeight="1">
      <c r="A79" s="80" t="s">
        <v>1204</v>
      </c>
      <c r="B79" s="113" t="s">
        <v>1205</v>
      </c>
      <c r="C79" s="80" t="s">
        <v>210</v>
      </c>
      <c r="D79" s="80" t="s">
        <v>1206</v>
      </c>
      <c r="E79" s="80" t="s">
        <v>217</v>
      </c>
      <c r="F79" s="80" t="s">
        <v>245</v>
      </c>
      <c r="G79" s="80" t="s">
        <v>211</v>
      </c>
      <c r="H79" s="61" t="str">
        <f t="shared" si="3"/>
        <v/>
      </c>
      <c r="I79" s="61" t="str">
        <f t="shared" si="4"/>
        <v/>
      </c>
      <c r="J79" s="61" t="str">
        <f t="shared" si="5"/>
        <v/>
      </c>
      <c r="K79" s="61">
        <f t="shared" si="6"/>
        <v>1</v>
      </c>
      <c r="L79" s="61" t="str">
        <f t="shared" si="7"/>
        <v/>
      </c>
      <c r="M79" s="61" t="str">
        <f t="shared" si="8"/>
        <v/>
      </c>
      <c r="N79" s="61" t="b">
        <f t="shared" si="42"/>
        <v>1</v>
      </c>
      <c r="O79" s="61" t="b">
        <f t="shared" si="43"/>
        <v>1</v>
      </c>
      <c r="P79" s="80">
        <v>1.0</v>
      </c>
      <c r="Q79" s="80">
        <v>1.0</v>
      </c>
      <c r="R79" s="80">
        <v>1.0</v>
      </c>
      <c r="S79" s="61" t="b">
        <f t="shared" si="44"/>
        <v>1</v>
      </c>
      <c r="T79" s="80">
        <v>1.0</v>
      </c>
      <c r="U79" s="80">
        <v>1.0</v>
      </c>
      <c r="X79" s="61" t="str">
        <f t="shared" si="30"/>
        <v/>
      </c>
      <c r="Y79" s="61" t="str">
        <f t="shared" si="12"/>
        <v/>
      </c>
      <c r="Z79" s="114" t="s">
        <v>1207</v>
      </c>
      <c r="AA79" s="80" t="s">
        <v>266</v>
      </c>
      <c r="AC79" s="61">
        <f>countif('Charts-SLR'!A:A,AA79)</f>
        <v>1</v>
      </c>
      <c r="AD79" s="80" t="s">
        <v>1208</v>
      </c>
      <c r="AE79" s="61">
        <f t="shared" si="13"/>
        <v>0</v>
      </c>
      <c r="AF79" s="80">
        <v>2006.0</v>
      </c>
      <c r="AG79" s="80" t="s">
        <v>231</v>
      </c>
      <c r="AH79" s="80">
        <v>6.0</v>
      </c>
      <c r="AI79" s="108">
        <f t="shared" si="14"/>
        <v>1</v>
      </c>
      <c r="AJ79" s="61">
        <f t="shared" si="15"/>
        <v>6</v>
      </c>
      <c r="AK79" s="61" t="str">
        <f t="shared" si="16"/>
        <v/>
      </c>
      <c r="AL79" s="61" t="str">
        <f t="shared" si="17"/>
        <v/>
      </c>
      <c r="AM79" s="61" t="str">
        <f t="shared" si="18"/>
        <v/>
      </c>
      <c r="AN79" s="61" t="str">
        <f t="shared" si="19"/>
        <v/>
      </c>
      <c r="AO79" s="61" t="str">
        <f t="shared" si="20"/>
        <v/>
      </c>
      <c r="AP79" s="80" t="s">
        <v>217</v>
      </c>
      <c r="AR79" s="80" t="s">
        <v>217</v>
      </c>
      <c r="AV79" s="61">
        <f t="shared" si="21"/>
        <v>2</v>
      </c>
      <c r="AX79" s="80" t="s">
        <v>217</v>
      </c>
      <c r="BD79" s="80" t="s">
        <v>217</v>
      </c>
      <c r="BG79" s="80" t="s">
        <v>217</v>
      </c>
      <c r="BL79" s="80" t="s">
        <v>217</v>
      </c>
      <c r="BM79" s="80" t="s">
        <v>217</v>
      </c>
      <c r="BO79" s="218" t="str">
        <f t="shared" si="47"/>
        <v/>
      </c>
      <c r="BP79" s="61">
        <f t="shared" si="33"/>
        <v>1</v>
      </c>
      <c r="BS79" s="80" t="s">
        <v>217</v>
      </c>
      <c r="BV79" s="80" t="s">
        <v>217</v>
      </c>
      <c r="BX79" s="80" t="s">
        <v>217</v>
      </c>
      <c r="CK79" s="80" t="s">
        <v>217</v>
      </c>
      <c r="CM79" s="61">
        <f t="shared" si="22"/>
        <v>1</v>
      </c>
      <c r="CO79" s="80" t="s">
        <v>217</v>
      </c>
      <c r="CS79" s="61">
        <f t="shared" si="23"/>
        <v>1</v>
      </c>
      <c r="CT79" s="80" t="s">
        <v>217</v>
      </c>
      <c r="CV79" s="61" t="str">
        <f t="shared" si="24"/>
        <v/>
      </c>
      <c r="CW79" s="61" t="str">
        <f t="shared" si="25"/>
        <v>FM</v>
      </c>
      <c r="CX79" s="61" t="str">
        <f t="shared" si="26"/>
        <v/>
      </c>
      <c r="DE79" s="80" t="s">
        <v>1411</v>
      </c>
      <c r="DF79" s="80" t="s">
        <v>217</v>
      </c>
      <c r="DH79" s="61" t="str">
        <f t="shared" si="27"/>
        <v/>
      </c>
      <c r="DI79" s="80" t="s">
        <v>217</v>
      </c>
      <c r="DK79" s="61" t="str">
        <f t="shared" si="38"/>
        <v/>
      </c>
      <c r="DL79" s="61" t="str">
        <f t="shared" si="39"/>
        <v/>
      </c>
      <c r="DM79" s="80" t="s">
        <v>217</v>
      </c>
      <c r="DZ79" s="80" t="s">
        <v>217</v>
      </c>
      <c r="EF79" s="116"/>
      <c r="EJ79" s="80" t="s">
        <v>217</v>
      </c>
    </row>
    <row r="80" ht="1.5" customHeight="1">
      <c r="A80" s="80" t="s">
        <v>1237</v>
      </c>
      <c r="B80" s="113" t="s">
        <v>1238</v>
      </c>
      <c r="C80" s="80" t="s">
        <v>210</v>
      </c>
      <c r="D80" s="80" t="s">
        <v>1239</v>
      </c>
      <c r="E80" s="80" t="s">
        <v>217</v>
      </c>
      <c r="F80" s="80" t="s">
        <v>245</v>
      </c>
      <c r="G80" s="80" t="s">
        <v>211</v>
      </c>
      <c r="H80" s="61" t="str">
        <f t="shared" si="3"/>
        <v/>
      </c>
      <c r="I80" s="61" t="str">
        <f t="shared" si="4"/>
        <v/>
      </c>
      <c r="J80" s="61" t="str">
        <f t="shared" si="5"/>
        <v/>
      </c>
      <c r="K80" s="61">
        <f t="shared" si="6"/>
        <v>1</v>
      </c>
      <c r="L80" s="61" t="str">
        <f t="shared" si="7"/>
        <v/>
      </c>
      <c r="M80" s="61" t="str">
        <f t="shared" si="8"/>
        <v/>
      </c>
      <c r="N80" s="61" t="b">
        <f t="shared" si="42"/>
        <v>1</v>
      </c>
      <c r="O80" s="61" t="b">
        <f t="shared" si="43"/>
        <v>1</v>
      </c>
      <c r="P80" s="80">
        <v>1.0</v>
      </c>
      <c r="Q80" s="80">
        <v>1.0</v>
      </c>
      <c r="R80" s="80">
        <v>1.0</v>
      </c>
      <c r="S80" s="61" t="b">
        <f t="shared" si="44"/>
        <v>1</v>
      </c>
      <c r="T80" s="80">
        <v>0.0</v>
      </c>
      <c r="U80" s="80">
        <v>1.0</v>
      </c>
      <c r="V80" s="80">
        <v>1.0</v>
      </c>
      <c r="W80" s="115" t="s">
        <v>1240</v>
      </c>
      <c r="X80" s="61" t="str">
        <f t="shared" si="30"/>
        <v>Sprenkle:taic08, </v>
      </c>
      <c r="Y80" s="61" t="str">
        <f t="shared" si="12"/>
        <v>Sprenkle:taic08, </v>
      </c>
      <c r="Z80" s="114" t="s">
        <v>1241</v>
      </c>
      <c r="AA80" s="80" t="s">
        <v>266</v>
      </c>
      <c r="AC80" s="61">
        <f>countif('Charts-SLR'!A:A,AA80)</f>
        <v>1</v>
      </c>
      <c r="AD80" s="80" t="s">
        <v>1242</v>
      </c>
      <c r="AE80" s="61">
        <f t="shared" si="13"/>
        <v>0</v>
      </c>
      <c r="AF80" s="80">
        <v>2008.0</v>
      </c>
      <c r="AG80" s="80" t="s">
        <v>250</v>
      </c>
      <c r="AH80" s="80">
        <v>2.0</v>
      </c>
      <c r="AI80" s="108">
        <f t="shared" si="14"/>
        <v>0.5</v>
      </c>
      <c r="AJ80" s="61" t="str">
        <f t="shared" si="15"/>
        <v/>
      </c>
      <c r="AK80" s="61">
        <f t="shared" si="16"/>
        <v>2</v>
      </c>
      <c r="AL80" s="61" t="str">
        <f t="shared" si="17"/>
        <v/>
      </c>
      <c r="AM80" s="61" t="str">
        <f t="shared" si="18"/>
        <v/>
      </c>
      <c r="AN80" s="61" t="str">
        <f t="shared" si="19"/>
        <v/>
      </c>
      <c r="AO80" s="61" t="str">
        <f t="shared" si="20"/>
        <v/>
      </c>
      <c r="AQ80" s="80" t="s">
        <v>217</v>
      </c>
      <c r="AV80" s="61">
        <f t="shared" si="21"/>
        <v>1</v>
      </c>
      <c r="AX80" s="80" t="s">
        <v>217</v>
      </c>
      <c r="BD80" s="80" t="s">
        <v>217</v>
      </c>
      <c r="BK80" s="80" t="s">
        <v>217</v>
      </c>
      <c r="BN80" s="80" t="s">
        <v>217</v>
      </c>
      <c r="BO80" s="218" t="str">
        <f t="shared" si="47"/>
        <v/>
      </c>
      <c r="BP80" s="61">
        <f t="shared" si="33"/>
        <v>2</v>
      </c>
      <c r="BS80" s="80" t="s">
        <v>217</v>
      </c>
      <c r="BT80" s="80" t="s">
        <v>217</v>
      </c>
      <c r="CD80" s="80" t="s">
        <v>217</v>
      </c>
      <c r="CM80" s="61">
        <f t="shared" si="22"/>
        <v>1</v>
      </c>
      <c r="CP80" s="80" t="s">
        <v>217</v>
      </c>
      <c r="CS80" s="61">
        <f t="shared" si="23"/>
        <v>1</v>
      </c>
      <c r="CT80" s="80" t="s">
        <v>217</v>
      </c>
      <c r="CU80" s="80" t="s">
        <v>217</v>
      </c>
      <c r="CV80" s="61" t="str">
        <f t="shared" si="24"/>
        <v>both</v>
      </c>
      <c r="CW80" s="61" t="str">
        <f t="shared" si="25"/>
        <v/>
      </c>
      <c r="CX80" s="61" t="str">
        <f t="shared" si="26"/>
        <v/>
      </c>
      <c r="CZ80" s="80" t="s">
        <v>217</v>
      </c>
      <c r="DG80" s="80" t="s">
        <v>217</v>
      </c>
      <c r="DH80" s="61" t="str">
        <f t="shared" si="27"/>
        <v/>
      </c>
      <c r="DI80" s="80" t="s">
        <v>217</v>
      </c>
      <c r="DK80" s="61" t="str">
        <f t="shared" si="38"/>
        <v/>
      </c>
      <c r="DL80" s="61" t="str">
        <f t="shared" si="39"/>
        <v/>
      </c>
      <c r="DM80" s="80" t="s">
        <v>217</v>
      </c>
      <c r="DY80" s="80" t="s">
        <v>217</v>
      </c>
      <c r="EB80" s="80" t="s">
        <v>1246</v>
      </c>
      <c r="EC80" s="80" t="s">
        <v>217</v>
      </c>
      <c r="ED80" s="80">
        <v>4.0</v>
      </c>
      <c r="EE80" s="80" t="s">
        <v>1202</v>
      </c>
      <c r="EF80" s="112">
        <v>79466.0</v>
      </c>
      <c r="EI80" s="80" t="s">
        <v>217</v>
      </c>
      <c r="EJ80" s="80" t="s">
        <v>217</v>
      </c>
    </row>
    <row r="81" ht="1.5" customHeight="1">
      <c r="A81" s="80" t="s">
        <v>1248</v>
      </c>
      <c r="B81" s="113" t="s">
        <v>1249</v>
      </c>
      <c r="C81" s="80" t="s">
        <v>210</v>
      </c>
      <c r="D81" s="80" t="s">
        <v>1250</v>
      </c>
      <c r="E81" s="80" t="s">
        <v>217</v>
      </c>
      <c r="F81" s="80" t="s">
        <v>245</v>
      </c>
      <c r="G81" s="80" t="s">
        <v>211</v>
      </c>
      <c r="H81" s="61" t="str">
        <f t="shared" si="3"/>
        <v/>
      </c>
      <c r="I81" s="61" t="str">
        <f t="shared" si="4"/>
        <v/>
      </c>
      <c r="J81" s="61" t="str">
        <f t="shared" si="5"/>
        <v/>
      </c>
      <c r="K81" s="61">
        <f t="shared" si="6"/>
        <v>1</v>
      </c>
      <c r="L81" s="61" t="str">
        <f t="shared" si="7"/>
        <v/>
      </c>
      <c r="M81" s="61" t="str">
        <f t="shared" si="8"/>
        <v/>
      </c>
      <c r="N81" s="61" t="b">
        <f t="shared" si="42"/>
        <v>1</v>
      </c>
      <c r="O81" s="61" t="b">
        <f t="shared" si="43"/>
        <v>1</v>
      </c>
      <c r="P81" s="80">
        <v>0.0</v>
      </c>
      <c r="Q81" s="80">
        <v>1.0</v>
      </c>
      <c r="R81" s="80">
        <v>1.0</v>
      </c>
      <c r="S81" s="61" t="b">
        <f t="shared" si="44"/>
        <v>1</v>
      </c>
      <c r="T81" s="80">
        <v>0.0</v>
      </c>
      <c r="U81" s="80">
        <v>1.0</v>
      </c>
      <c r="V81" s="80">
        <v>1.0</v>
      </c>
      <c r="W81" s="115" t="s">
        <v>1251</v>
      </c>
      <c r="X81" s="61" t="str">
        <f t="shared" si="30"/>
        <v/>
      </c>
      <c r="Y81" s="61" t="str">
        <f t="shared" si="12"/>
        <v/>
      </c>
      <c r="Z81" s="114" t="s">
        <v>1252</v>
      </c>
      <c r="AA81" s="80" t="s">
        <v>464</v>
      </c>
      <c r="AC81" s="61">
        <f>countif('Charts-SLR'!A:A,AA81)</f>
        <v>1</v>
      </c>
      <c r="AD81" s="80" t="s">
        <v>591</v>
      </c>
      <c r="AE81" s="61">
        <f t="shared" si="13"/>
        <v>0</v>
      </c>
      <c r="AF81" s="80">
        <v>2005.0</v>
      </c>
      <c r="AG81" s="80" t="s">
        <v>250</v>
      </c>
      <c r="AH81" s="80">
        <v>2.0</v>
      </c>
      <c r="AI81" s="108">
        <f t="shared" si="14"/>
        <v>0.2857142857</v>
      </c>
      <c r="AJ81" s="61" t="str">
        <f t="shared" si="15"/>
        <v/>
      </c>
      <c r="AK81" s="61">
        <f t="shared" si="16"/>
        <v>2</v>
      </c>
      <c r="AL81" s="61" t="str">
        <f t="shared" si="17"/>
        <v/>
      </c>
      <c r="AM81" s="61" t="str">
        <f t="shared" si="18"/>
        <v/>
      </c>
      <c r="AN81" s="61" t="str">
        <f t="shared" si="19"/>
        <v/>
      </c>
      <c r="AO81" s="61" t="str">
        <f t="shared" si="20"/>
        <v/>
      </c>
      <c r="AQ81" s="80" t="s">
        <v>217</v>
      </c>
      <c r="AV81" s="61">
        <f t="shared" si="21"/>
        <v>1</v>
      </c>
      <c r="AW81" s="80" t="s">
        <v>217</v>
      </c>
      <c r="BD81" s="80" t="s">
        <v>217</v>
      </c>
      <c r="BI81" s="80" t="s">
        <v>217</v>
      </c>
      <c r="BJ81" s="80" t="s">
        <v>217</v>
      </c>
      <c r="BN81" s="80" t="s">
        <v>217</v>
      </c>
      <c r="BO81" s="218" t="str">
        <f t="shared" si="47"/>
        <v/>
      </c>
      <c r="BP81" s="61">
        <f t="shared" si="33"/>
        <v>2</v>
      </c>
      <c r="BS81" s="80" t="s">
        <v>217</v>
      </c>
      <c r="CM81" s="61">
        <f t="shared" si="22"/>
        <v>0</v>
      </c>
      <c r="CQ81" s="80" t="s">
        <v>217</v>
      </c>
      <c r="CS81" s="61">
        <f t="shared" si="23"/>
        <v>1</v>
      </c>
      <c r="CU81" s="80" t="s">
        <v>217</v>
      </c>
      <c r="CV81" s="61" t="str">
        <f t="shared" si="24"/>
        <v/>
      </c>
      <c r="CW81" s="61" t="str">
        <f t="shared" si="25"/>
        <v/>
      </c>
      <c r="CX81" s="61" t="str">
        <f t="shared" si="26"/>
        <v>FA</v>
      </c>
      <c r="DA81" s="80" t="s">
        <v>217</v>
      </c>
      <c r="DG81" s="80" t="s">
        <v>217</v>
      </c>
      <c r="DH81" s="61" t="str">
        <f t="shared" si="27"/>
        <v/>
      </c>
      <c r="DI81" s="80" t="s">
        <v>217</v>
      </c>
      <c r="DK81" s="61" t="str">
        <f t="shared" si="38"/>
        <v/>
      </c>
      <c r="DL81" s="61" t="str">
        <f t="shared" si="39"/>
        <v/>
      </c>
      <c r="EA81" s="80" t="s">
        <v>217</v>
      </c>
      <c r="EB81" s="80" t="s">
        <v>1253</v>
      </c>
      <c r="EC81" s="80" t="s">
        <v>217</v>
      </c>
      <c r="EF81" s="116"/>
      <c r="EH81" s="80" t="s">
        <v>217</v>
      </c>
    </row>
    <row r="82" ht="1.5" customHeight="1">
      <c r="A82" s="221"/>
      <c r="B82" s="222" t="s">
        <v>1254</v>
      </c>
      <c r="C82" s="223">
        <f t="array" ref="C82">SUM.LEGACY(C84,"","")</f>
        <v>25</v>
      </c>
      <c r="D82" s="221"/>
      <c r="E82" s="221"/>
      <c r="F82" s="221"/>
      <c r="G82" s="221"/>
      <c r="H82" s="224">
        <f t="shared" ref="H82:M82" si="48">sum(H3:H81)</f>
        <v>14</v>
      </c>
      <c r="I82" s="224">
        <f t="shared" si="48"/>
        <v>13</v>
      </c>
      <c r="J82" s="224">
        <f t="shared" si="48"/>
        <v>12</v>
      </c>
      <c r="K82" s="224">
        <f t="shared" si="48"/>
        <v>13</v>
      </c>
      <c r="L82" s="224">
        <f t="shared" si="48"/>
        <v>13</v>
      </c>
      <c r="M82" s="224">
        <f t="shared" si="48"/>
        <v>14</v>
      </c>
      <c r="N82" s="221"/>
      <c r="O82" s="221"/>
      <c r="P82" s="221"/>
      <c r="Q82" s="221"/>
      <c r="R82" s="221"/>
      <c r="S82" s="221"/>
      <c r="T82" s="221"/>
      <c r="U82" s="221"/>
      <c r="V82" s="221"/>
      <c r="W82" s="225"/>
      <c r="X82" s="224" t="str">
        <f t="shared" ref="X82:Y82" si="49">CONCATENATE(X3:X81)</f>
        <v>Tonella:wse04, Sampath:ase04, Sprenkle:icst11, Sprenkle:icsm05, Sampath:tse07, Sprenkle:issre07, Sampath:icsm04, Sampath:tav06, Sampath:issre06, Sprenkle:taic08, </v>
      </c>
      <c r="Y82" s="224" t="str">
        <f t="shared" si="49"/>
        <v>Artzi:icse2011, Saxena:sp10, Ricca:icse01, Mesbah:icse2011, Sciascio:icwe05, Pattabiraman:ISSRE10, Kallepalli:tse01, Koopman:padl08, Dobolyi:issta10, Jensen:esec11, Roest:2010.icst, Amalfitano:icstw10, Li:jss10, Gerlits:syrcose10, Benedikt:www02, Sprenkle:taic08, </v>
      </c>
      <c r="Z82" s="226"/>
      <c r="AA82" s="221"/>
      <c r="AB82" s="224">
        <f>counta(AB3:AB81)</f>
        <v>8</v>
      </c>
      <c r="AC82" s="221"/>
      <c r="AD82" s="221"/>
      <c r="AE82" s="221"/>
      <c r="AF82" s="221"/>
      <c r="AG82" s="215" t="s">
        <v>1412</v>
      </c>
      <c r="AH82" s="224">
        <f t="shared" ref="AH82:AN82" si="50">AVERAGE(AH1:AH81)</f>
        <v>31.89873418</v>
      </c>
      <c r="AI82" s="224">
        <f t="shared" si="50"/>
        <v>5.548539646</v>
      </c>
      <c r="AJ82" s="224">
        <f t="shared" si="50"/>
        <v>39.69565217</v>
      </c>
      <c r="AK82" s="224">
        <f t="shared" si="50"/>
        <v>34.54285714</v>
      </c>
      <c r="AL82" s="224">
        <f t="shared" si="50"/>
        <v>11</v>
      </c>
      <c r="AM82" s="224" t="str">
        <f t="shared" si="50"/>
        <v>#DIV/0!</v>
      </c>
      <c r="AN82" s="224">
        <f t="shared" si="50"/>
        <v>23.84615385</v>
      </c>
      <c r="AO82" s="224" t="str">
        <f>CONCATENATE(AO3:AO81)</f>
        <v>Marchetto:sttt08, Sprenkle:icst11, Sprenkle:icsm05, Sprenkle:issre07, Marchetto:wse07, Sampath:tav06, Dobolyi:issta10, halfond:issta'09, Gerlits:syrcose10, Hao:icwe06, Sampath:issre06, </v>
      </c>
      <c r="AP82" s="224">
        <f t="shared" ref="AP82:AU82" si="51">counta(AP3:AP81)</f>
        <v>57</v>
      </c>
      <c r="AQ82" s="224">
        <f t="shared" si="51"/>
        <v>41</v>
      </c>
      <c r="AR82" s="224">
        <f t="shared" si="51"/>
        <v>30</v>
      </c>
      <c r="AS82" s="224">
        <f t="shared" si="51"/>
        <v>9</v>
      </c>
      <c r="AT82" s="224">
        <f t="shared" si="51"/>
        <v>6</v>
      </c>
      <c r="AU82" s="224">
        <f t="shared" si="51"/>
        <v>11</v>
      </c>
      <c r="AV82" s="221"/>
      <c r="AW82" s="224">
        <f t="shared" ref="AW82:BN82" si="52">counta(AW3:AW81)</f>
        <v>27</v>
      </c>
      <c r="AX82" s="224">
        <f t="shared" si="52"/>
        <v>41</v>
      </c>
      <c r="AY82" s="224">
        <f t="shared" si="52"/>
        <v>10</v>
      </c>
      <c r="AZ82" s="224">
        <f t="shared" si="52"/>
        <v>1</v>
      </c>
      <c r="BA82" s="224">
        <f t="shared" si="52"/>
        <v>0</v>
      </c>
      <c r="BB82" s="224">
        <f t="shared" si="52"/>
        <v>0</v>
      </c>
      <c r="BC82" s="224">
        <f t="shared" si="52"/>
        <v>0</v>
      </c>
      <c r="BD82" s="224">
        <f t="shared" si="52"/>
        <v>61</v>
      </c>
      <c r="BE82" s="224">
        <f t="shared" si="52"/>
        <v>18</v>
      </c>
      <c r="BF82" s="224">
        <f t="shared" si="52"/>
        <v>21</v>
      </c>
      <c r="BG82" s="224">
        <f t="shared" si="52"/>
        <v>50</v>
      </c>
      <c r="BH82" s="224">
        <f t="shared" si="52"/>
        <v>3</v>
      </c>
      <c r="BI82" s="224">
        <f t="shared" si="52"/>
        <v>27</v>
      </c>
      <c r="BJ82" s="224">
        <f t="shared" si="52"/>
        <v>26</v>
      </c>
      <c r="BK82" s="224">
        <f t="shared" si="52"/>
        <v>13</v>
      </c>
      <c r="BL82" s="224">
        <f t="shared" si="52"/>
        <v>23</v>
      </c>
      <c r="BM82" s="224">
        <f t="shared" si="52"/>
        <v>22</v>
      </c>
      <c r="BN82" s="224">
        <f t="shared" si="52"/>
        <v>41</v>
      </c>
      <c r="BO82" s="224">
        <f>COUNTA.LEGACY(BO3:BO81)</f>
        <v>14</v>
      </c>
      <c r="BP82" s="221"/>
      <c r="BQ82" s="224">
        <f t="shared" ref="BQ82:CL82" si="53">counta(BQ3:BQ81)</f>
        <v>39</v>
      </c>
      <c r="BR82" s="224">
        <f t="shared" si="53"/>
        <v>19</v>
      </c>
      <c r="BS82" s="224">
        <f t="shared" si="53"/>
        <v>41</v>
      </c>
      <c r="BT82" s="224">
        <f t="shared" si="53"/>
        <v>37</v>
      </c>
      <c r="BU82" s="224">
        <f t="shared" si="53"/>
        <v>5</v>
      </c>
      <c r="BV82" s="224">
        <f t="shared" si="53"/>
        <v>18</v>
      </c>
      <c r="BW82" s="224">
        <f t="shared" si="53"/>
        <v>3</v>
      </c>
      <c r="BX82" s="224">
        <f t="shared" si="53"/>
        <v>15</v>
      </c>
      <c r="BY82" s="224">
        <f t="shared" si="53"/>
        <v>14</v>
      </c>
      <c r="BZ82" s="224">
        <f t="shared" si="53"/>
        <v>7</v>
      </c>
      <c r="CA82" s="224">
        <f t="shared" si="53"/>
        <v>5</v>
      </c>
      <c r="CB82" s="224">
        <f t="shared" si="53"/>
        <v>9</v>
      </c>
      <c r="CC82" s="224">
        <f t="shared" si="53"/>
        <v>2</v>
      </c>
      <c r="CD82" s="224">
        <f t="shared" si="53"/>
        <v>21</v>
      </c>
      <c r="CE82" s="224">
        <f t="shared" si="53"/>
        <v>8</v>
      </c>
      <c r="CF82" s="224">
        <f t="shared" si="53"/>
        <v>10</v>
      </c>
      <c r="CG82" s="224">
        <f t="shared" si="53"/>
        <v>4</v>
      </c>
      <c r="CH82" s="224">
        <f t="shared" si="53"/>
        <v>7</v>
      </c>
      <c r="CI82" s="224">
        <f t="shared" si="53"/>
        <v>2</v>
      </c>
      <c r="CJ82" s="224">
        <f t="shared" si="53"/>
        <v>7</v>
      </c>
      <c r="CK82" s="224">
        <f t="shared" si="53"/>
        <v>20</v>
      </c>
      <c r="CL82" s="224">
        <f t="shared" si="53"/>
        <v>14</v>
      </c>
      <c r="CM82" s="221"/>
      <c r="CN82" s="224">
        <f t="shared" ref="CN82:CR82" si="54">counta(CN3:CN81)</f>
        <v>39</v>
      </c>
      <c r="CO82" s="224">
        <f t="shared" si="54"/>
        <v>19</v>
      </c>
      <c r="CP82" s="224">
        <f t="shared" si="54"/>
        <v>17</v>
      </c>
      <c r="CQ82" s="224">
        <f t="shared" si="54"/>
        <v>12</v>
      </c>
      <c r="CR82" s="224">
        <f t="shared" si="54"/>
        <v>14</v>
      </c>
      <c r="CS82" s="221"/>
      <c r="CT82" s="224">
        <f t="shared" ref="CT82:CU82" si="55">counta(CT3:CT81)</f>
        <v>27</v>
      </c>
      <c r="CU82" s="224">
        <f t="shared" si="55"/>
        <v>69</v>
      </c>
      <c r="CV82" s="224">
        <f t="shared" ref="CV82:CX82" si="56">COUNTA.LEGACY(CV3:CV81)</f>
        <v>20</v>
      </c>
      <c r="CW82" s="224">
        <f t="shared" si="56"/>
        <v>7</v>
      </c>
      <c r="CX82" s="224">
        <f t="shared" si="56"/>
        <v>49</v>
      </c>
      <c r="CY82" s="224">
        <f t="shared" ref="CY82:DG82" si="57">counta(CY3:CY81)</f>
        <v>28</v>
      </c>
      <c r="CZ82" s="224">
        <f t="shared" si="57"/>
        <v>24</v>
      </c>
      <c r="DA82" s="224">
        <f t="shared" si="57"/>
        <v>26</v>
      </c>
      <c r="DB82" s="224">
        <f t="shared" si="57"/>
        <v>8</v>
      </c>
      <c r="DC82" s="224">
        <f t="shared" si="57"/>
        <v>11</v>
      </c>
      <c r="DD82" s="224">
        <f t="shared" si="57"/>
        <v>5</v>
      </c>
      <c r="DE82" s="224">
        <f t="shared" si="57"/>
        <v>9</v>
      </c>
      <c r="DF82" s="224">
        <f t="shared" si="57"/>
        <v>4</v>
      </c>
      <c r="DG82" s="224">
        <f t="shared" si="57"/>
        <v>75</v>
      </c>
      <c r="DH82" s="224">
        <f>COUNTA.LEGACY(DH3:DH81)</f>
        <v>0</v>
      </c>
      <c r="DI82" s="224">
        <f t="shared" ref="DI82:DJ82" si="58">counta(DI3:DI81)</f>
        <v>66</v>
      </c>
      <c r="DJ82" s="224">
        <f t="shared" si="58"/>
        <v>13</v>
      </c>
      <c r="DK82" s="224">
        <f t="shared" ref="DK82:DL82" si="59">COUNTA.LEGACY(DK3:DK81)</f>
        <v>0</v>
      </c>
      <c r="DL82" s="224">
        <f t="shared" si="59"/>
        <v>1</v>
      </c>
      <c r="DM82" s="224">
        <f t="shared" ref="DM82:EG82" si="60">counta(DM3:DM81)</f>
        <v>28</v>
      </c>
      <c r="DN82" s="224">
        <f t="shared" si="60"/>
        <v>14</v>
      </c>
      <c r="DO82" s="224">
        <f t="shared" si="60"/>
        <v>24</v>
      </c>
      <c r="DP82" s="224">
        <f t="shared" si="60"/>
        <v>23</v>
      </c>
      <c r="DQ82" s="224">
        <f t="shared" si="60"/>
        <v>9</v>
      </c>
      <c r="DR82" s="224">
        <f t="shared" si="60"/>
        <v>1</v>
      </c>
      <c r="DS82" s="224">
        <f t="shared" si="60"/>
        <v>17</v>
      </c>
      <c r="DT82" s="224">
        <f t="shared" si="60"/>
        <v>25</v>
      </c>
      <c r="DU82" s="224">
        <f t="shared" si="60"/>
        <v>5</v>
      </c>
      <c r="DV82" s="224">
        <f t="shared" si="60"/>
        <v>0</v>
      </c>
      <c r="DW82" s="224">
        <f t="shared" si="60"/>
        <v>0</v>
      </c>
      <c r="DX82" s="224">
        <f t="shared" si="60"/>
        <v>2</v>
      </c>
      <c r="DY82" s="224">
        <f t="shared" si="60"/>
        <v>16</v>
      </c>
      <c r="DZ82" s="224">
        <f t="shared" si="60"/>
        <v>11</v>
      </c>
      <c r="EA82" s="224">
        <f t="shared" si="60"/>
        <v>6</v>
      </c>
      <c r="EB82" s="224">
        <f t="shared" si="60"/>
        <v>41</v>
      </c>
      <c r="EC82" s="224">
        <f t="shared" si="60"/>
        <v>6</v>
      </c>
      <c r="ED82" s="224">
        <f t="shared" si="60"/>
        <v>64</v>
      </c>
      <c r="EE82" s="224">
        <f t="shared" si="60"/>
        <v>63</v>
      </c>
      <c r="EF82" s="224">
        <f t="shared" si="60"/>
        <v>41</v>
      </c>
      <c r="EG82" s="224">
        <f t="shared" si="60"/>
        <v>45</v>
      </c>
      <c r="EH82" s="221"/>
      <c r="EI82" s="221"/>
      <c r="EJ82" s="221"/>
      <c r="EK82" s="221"/>
    </row>
    <row r="83" ht="1.5" customHeight="1">
      <c r="A83" s="158"/>
      <c r="B83" s="227" t="s">
        <v>1413</v>
      </c>
      <c r="C83" s="159">
        <f>C82/3</f>
        <v>8.333333333</v>
      </c>
      <c r="D83" s="158"/>
      <c r="E83" s="158"/>
      <c r="F83" s="158"/>
      <c r="G83" s="158"/>
      <c r="H83" s="162" t="s">
        <v>1414</v>
      </c>
      <c r="N83" s="158"/>
      <c r="O83" s="158"/>
      <c r="P83" s="158"/>
      <c r="Q83" s="158"/>
      <c r="R83" s="158"/>
      <c r="S83" s="158"/>
      <c r="T83" s="158"/>
      <c r="U83" s="158"/>
      <c r="V83" s="158"/>
      <c r="W83" s="159"/>
      <c r="X83" s="158"/>
      <c r="Y83" s="158"/>
      <c r="Z83" s="161"/>
      <c r="AA83" s="158"/>
      <c r="AB83" s="158"/>
      <c r="AC83" s="158"/>
      <c r="AD83" s="158"/>
      <c r="AE83" s="158"/>
      <c r="AF83" s="158"/>
      <c r="AG83" s="162" t="s">
        <v>1255</v>
      </c>
      <c r="AH83" s="158">
        <f t="shared" ref="AH83:AN83" si="61">sum(AH1:AH81)</f>
        <v>2520</v>
      </c>
      <c r="AI83" s="158">
        <f t="shared" si="61"/>
        <v>438.334632</v>
      </c>
      <c r="AJ83" s="158">
        <f t="shared" si="61"/>
        <v>913</v>
      </c>
      <c r="AK83" s="158">
        <f t="shared" si="61"/>
        <v>1209</v>
      </c>
      <c r="AL83" s="158">
        <f t="shared" si="61"/>
        <v>88</v>
      </c>
      <c r="AM83" s="158">
        <f t="shared" si="61"/>
        <v>0</v>
      </c>
      <c r="AN83" s="158">
        <f t="shared" si="61"/>
        <v>310</v>
      </c>
      <c r="AO83" s="158"/>
      <c r="AP83" s="158">
        <f>AP82/79</f>
        <v>0.7215189873</v>
      </c>
      <c r="AQ83" s="158">
        <f t="shared" ref="AQ83:BB83" si="62">100*AQ82/79</f>
        <v>51.89873418</v>
      </c>
      <c r="AR83" s="158">
        <f t="shared" si="62"/>
        <v>37.97468354</v>
      </c>
      <c r="AS83" s="158">
        <f t="shared" si="62"/>
        <v>11.39240506</v>
      </c>
      <c r="AT83" s="158">
        <f t="shared" si="62"/>
        <v>7.594936709</v>
      </c>
      <c r="AU83" s="158">
        <f t="shared" si="62"/>
        <v>13.92405063</v>
      </c>
      <c r="AV83" s="158">
        <f t="shared" si="62"/>
        <v>0</v>
      </c>
      <c r="AW83" s="158">
        <f t="shared" si="62"/>
        <v>34.17721519</v>
      </c>
      <c r="AX83" s="158">
        <f t="shared" si="62"/>
        <v>51.89873418</v>
      </c>
      <c r="AY83" s="158">
        <f t="shared" si="62"/>
        <v>12.65822785</v>
      </c>
      <c r="AZ83" s="158">
        <f t="shared" si="62"/>
        <v>1.265822785</v>
      </c>
      <c r="BA83" s="158">
        <f t="shared" si="62"/>
        <v>0</v>
      </c>
      <c r="BB83" s="158">
        <f t="shared" si="62"/>
        <v>0</v>
      </c>
      <c r="BC83" s="158">
        <f>BC82/79</f>
        <v>0</v>
      </c>
      <c r="BD83" s="158">
        <f t="shared" ref="BD83:BO83" si="63">100*BD82/79</f>
        <v>77.21518987</v>
      </c>
      <c r="BE83" s="158">
        <f t="shared" si="63"/>
        <v>22.78481013</v>
      </c>
      <c r="BF83" s="158">
        <f t="shared" si="63"/>
        <v>26.58227848</v>
      </c>
      <c r="BG83" s="158">
        <f t="shared" si="63"/>
        <v>63.29113924</v>
      </c>
      <c r="BH83" s="158">
        <f t="shared" si="63"/>
        <v>3.797468354</v>
      </c>
      <c r="BI83" s="158">
        <f t="shared" si="63"/>
        <v>34.17721519</v>
      </c>
      <c r="BJ83" s="158">
        <f t="shared" si="63"/>
        <v>32.91139241</v>
      </c>
      <c r="BK83" s="158">
        <f t="shared" si="63"/>
        <v>16.4556962</v>
      </c>
      <c r="BL83" s="158">
        <f t="shared" si="63"/>
        <v>29.11392405</v>
      </c>
      <c r="BM83" s="158">
        <f t="shared" si="63"/>
        <v>27.84810127</v>
      </c>
      <c r="BN83" s="158">
        <f t="shared" si="63"/>
        <v>51.89873418</v>
      </c>
      <c r="BO83" s="158">
        <f t="shared" si="63"/>
        <v>17.72151899</v>
      </c>
      <c r="BP83" s="158"/>
      <c r="BQ83" s="158">
        <f t="shared" ref="BQ83:CL83" si="64">100*BQ82/79</f>
        <v>49.36708861</v>
      </c>
      <c r="BR83" s="158">
        <f t="shared" si="64"/>
        <v>24.05063291</v>
      </c>
      <c r="BS83" s="158">
        <f t="shared" si="64"/>
        <v>51.89873418</v>
      </c>
      <c r="BT83" s="158">
        <f t="shared" si="64"/>
        <v>46.83544304</v>
      </c>
      <c r="BU83" s="158">
        <f t="shared" si="64"/>
        <v>6.329113924</v>
      </c>
      <c r="BV83" s="158">
        <f t="shared" si="64"/>
        <v>22.78481013</v>
      </c>
      <c r="BW83" s="158">
        <f t="shared" si="64"/>
        <v>3.797468354</v>
      </c>
      <c r="BX83" s="158">
        <f t="shared" si="64"/>
        <v>18.98734177</v>
      </c>
      <c r="BY83" s="158">
        <f t="shared" si="64"/>
        <v>17.72151899</v>
      </c>
      <c r="BZ83" s="158">
        <f t="shared" si="64"/>
        <v>8.860759494</v>
      </c>
      <c r="CA83" s="158">
        <f t="shared" si="64"/>
        <v>6.329113924</v>
      </c>
      <c r="CB83" s="158">
        <f t="shared" si="64"/>
        <v>11.39240506</v>
      </c>
      <c r="CC83" s="158">
        <f t="shared" si="64"/>
        <v>2.53164557</v>
      </c>
      <c r="CD83" s="158">
        <f t="shared" si="64"/>
        <v>26.58227848</v>
      </c>
      <c r="CE83" s="158">
        <f t="shared" si="64"/>
        <v>10.12658228</v>
      </c>
      <c r="CF83" s="158">
        <f t="shared" si="64"/>
        <v>12.65822785</v>
      </c>
      <c r="CG83" s="158">
        <f t="shared" si="64"/>
        <v>5.063291139</v>
      </c>
      <c r="CH83" s="158">
        <f t="shared" si="64"/>
        <v>8.860759494</v>
      </c>
      <c r="CI83" s="158">
        <f t="shared" si="64"/>
        <v>2.53164557</v>
      </c>
      <c r="CJ83" s="158">
        <f t="shared" si="64"/>
        <v>8.860759494</v>
      </c>
      <c r="CK83" s="158">
        <f t="shared" si="64"/>
        <v>25.3164557</v>
      </c>
      <c r="CL83" s="158">
        <f t="shared" si="64"/>
        <v>17.72151899</v>
      </c>
      <c r="CM83" s="158"/>
      <c r="CN83" s="158">
        <f t="shared" ref="CN83:CR83" si="65">100*CN82/79</f>
        <v>49.36708861</v>
      </c>
      <c r="CO83" s="158">
        <f t="shared" si="65"/>
        <v>24.05063291</v>
      </c>
      <c r="CP83" s="158">
        <f t="shared" si="65"/>
        <v>21.51898734</v>
      </c>
      <c r="CQ83" s="158">
        <f t="shared" si="65"/>
        <v>15.18987342</v>
      </c>
      <c r="CR83" s="158">
        <f t="shared" si="65"/>
        <v>17.72151899</v>
      </c>
      <c r="CS83" s="158"/>
      <c r="CT83" s="158">
        <f t="shared" ref="CT83:DG83" si="66">100*CT82/79</f>
        <v>34.17721519</v>
      </c>
      <c r="CU83" s="158">
        <f t="shared" si="66"/>
        <v>87.34177215</v>
      </c>
      <c r="CV83" s="158">
        <f t="shared" si="66"/>
        <v>25.3164557</v>
      </c>
      <c r="CW83" s="158">
        <f t="shared" si="66"/>
        <v>8.860759494</v>
      </c>
      <c r="CX83" s="158">
        <f t="shared" si="66"/>
        <v>62.02531646</v>
      </c>
      <c r="CY83" s="158">
        <f t="shared" si="66"/>
        <v>35.44303797</v>
      </c>
      <c r="CZ83" s="158">
        <f t="shared" si="66"/>
        <v>30.37974684</v>
      </c>
      <c r="DA83" s="158">
        <f t="shared" si="66"/>
        <v>32.91139241</v>
      </c>
      <c r="DB83" s="158">
        <f t="shared" si="66"/>
        <v>10.12658228</v>
      </c>
      <c r="DC83" s="158">
        <f t="shared" si="66"/>
        <v>13.92405063</v>
      </c>
      <c r="DD83" s="158">
        <f t="shared" si="66"/>
        <v>6.329113924</v>
      </c>
      <c r="DE83" s="158">
        <f t="shared" si="66"/>
        <v>11.39240506</v>
      </c>
      <c r="DF83" s="158">
        <f t="shared" si="66"/>
        <v>5.063291139</v>
      </c>
      <c r="DG83" s="158">
        <f t="shared" si="66"/>
        <v>94.93670886</v>
      </c>
      <c r="DH83" s="158"/>
      <c r="DI83" s="158">
        <f t="shared" ref="DI83:DJ83" si="67">100*DI82/79</f>
        <v>83.5443038</v>
      </c>
      <c r="DJ83" s="158">
        <f t="shared" si="67"/>
        <v>16.4556962</v>
      </c>
      <c r="DK83" s="158"/>
      <c r="DL83" s="158"/>
      <c r="DM83" s="158">
        <f t="shared" ref="DM83:EH83" si="68">100*DM82/79</f>
        <v>35.44303797</v>
      </c>
      <c r="DN83" s="158">
        <f t="shared" si="68"/>
        <v>17.72151899</v>
      </c>
      <c r="DO83" s="158">
        <f t="shared" si="68"/>
        <v>30.37974684</v>
      </c>
      <c r="DP83" s="158">
        <f t="shared" si="68"/>
        <v>29.11392405</v>
      </c>
      <c r="DQ83" s="158">
        <f t="shared" si="68"/>
        <v>11.39240506</v>
      </c>
      <c r="DR83" s="158">
        <f t="shared" si="68"/>
        <v>1.265822785</v>
      </c>
      <c r="DS83" s="158">
        <f t="shared" si="68"/>
        <v>21.51898734</v>
      </c>
      <c r="DT83" s="158">
        <f t="shared" si="68"/>
        <v>31.64556962</v>
      </c>
      <c r="DU83" s="158">
        <f t="shared" si="68"/>
        <v>6.329113924</v>
      </c>
      <c r="DV83" s="158">
        <f t="shared" si="68"/>
        <v>0</v>
      </c>
      <c r="DW83" s="158">
        <f t="shared" si="68"/>
        <v>0</v>
      </c>
      <c r="DX83" s="158">
        <f t="shared" si="68"/>
        <v>2.53164557</v>
      </c>
      <c r="DY83" s="158">
        <f t="shared" si="68"/>
        <v>20.25316456</v>
      </c>
      <c r="DZ83" s="158">
        <f t="shared" si="68"/>
        <v>13.92405063</v>
      </c>
      <c r="EA83" s="158">
        <f t="shared" si="68"/>
        <v>7.594936709</v>
      </c>
      <c r="EB83" s="158">
        <f t="shared" si="68"/>
        <v>51.89873418</v>
      </c>
      <c r="EC83" s="158">
        <f t="shared" si="68"/>
        <v>7.594936709</v>
      </c>
      <c r="ED83" s="158">
        <f t="shared" si="68"/>
        <v>81.01265823</v>
      </c>
      <c r="EE83" s="158">
        <f t="shared" si="68"/>
        <v>79.74683544</v>
      </c>
      <c r="EF83" s="158">
        <f t="shared" si="68"/>
        <v>51.89873418</v>
      </c>
      <c r="EG83" s="158">
        <f t="shared" si="68"/>
        <v>56.96202532</v>
      </c>
      <c r="EH83" s="158">
        <f t="shared" si="68"/>
        <v>0</v>
      </c>
      <c r="EI83" s="158"/>
      <c r="EJ83" s="158"/>
      <c r="EK83" s="158"/>
    </row>
    <row r="84" ht="1.5" customHeight="1">
      <c r="B84" s="228" t="s">
        <v>210</v>
      </c>
      <c r="C84" s="13">
        <f>countif(C3:C81,B84)</f>
        <v>25</v>
      </c>
      <c r="E84" s="10"/>
      <c r="F84" s="13">
        <f>H82+L82</f>
        <v>27</v>
      </c>
      <c r="G84" s="10"/>
      <c r="H84" s="10"/>
      <c r="I84" s="10"/>
      <c r="J84" s="10"/>
      <c r="K84" s="10"/>
      <c r="L84" s="10"/>
      <c r="M84" s="10"/>
      <c r="N84" s="10"/>
      <c r="W84" s="10"/>
      <c r="Z84" s="127"/>
      <c r="AG84" s="80" t="s">
        <v>1256</v>
      </c>
      <c r="AH84" s="61">
        <f t="shared" ref="AH84:AI84" si="69">STDEV(AH3:AH81)</f>
        <v>60.87894565</v>
      </c>
      <c r="AI84" s="61">
        <f t="shared" si="69"/>
        <v>7.795990293</v>
      </c>
      <c r="BO84" s="122"/>
      <c r="EF84" s="116"/>
    </row>
  </sheetData>
  <mergeCells count="21">
    <mergeCell ref="G1:M1"/>
    <mergeCell ref="N1:V1"/>
    <mergeCell ref="Z1:AN1"/>
    <mergeCell ref="AP1:AV1"/>
    <mergeCell ref="AW1:BC1"/>
    <mergeCell ref="BD1:BF1"/>
    <mergeCell ref="H83:M83"/>
    <mergeCell ref="DF1:DG1"/>
    <mergeCell ref="DI1:DJ1"/>
    <mergeCell ref="DM1:DR1"/>
    <mergeCell ref="DS1:EA1"/>
    <mergeCell ref="EB1:EC1"/>
    <mergeCell ref="ED1:EJ1"/>
    <mergeCell ref="BM1:BO1"/>
    <mergeCell ref="BQ1:BS1"/>
    <mergeCell ref="BT1:CA1"/>
    <mergeCell ref="CB1:CM1"/>
    <mergeCell ref="CN1:CS1"/>
    <mergeCell ref="CT1:CX1"/>
    <mergeCell ref="BG1:BL1"/>
    <mergeCell ref="CY1:DE1"/>
  </mergeCells>
  <conditionalFormatting sqref="F3:F23">
    <cfRule type="containsBlanks" dxfId="0" priority="1">
      <formula>LEN(TRIM(F3))=0</formula>
    </cfRule>
  </conditionalFormatting>
  <conditionalFormatting sqref="F28:F29">
    <cfRule type="containsBlanks" dxfId="0" priority="2">
      <formula>LEN(TRIM(F28))=0</formula>
    </cfRule>
  </conditionalFormatting>
  <conditionalFormatting sqref="F31:F33">
    <cfRule type="containsBlanks" dxfId="0" priority="3">
      <formula>LEN(TRIM(F31))=0</formula>
    </cfRule>
  </conditionalFormatting>
  <conditionalFormatting sqref="F35">
    <cfRule type="containsBlanks" dxfId="0" priority="4">
      <formula>LEN(TRIM(F35))=0</formula>
    </cfRule>
  </conditionalFormatting>
  <conditionalFormatting sqref="F46:F47">
    <cfRule type="containsBlanks" dxfId="0" priority="5">
      <formula>LEN(TRIM(F46))=0</formula>
    </cfRule>
  </conditionalFormatting>
  <conditionalFormatting sqref="F49">
    <cfRule type="containsBlanks" dxfId="0" priority="6">
      <formula>LEN(TRIM(F49))=0</formula>
    </cfRule>
  </conditionalFormatting>
  <conditionalFormatting sqref="F52:F54">
    <cfRule type="containsBlanks" dxfId="0" priority="7">
      <formula>LEN(TRIM(F52))=0</formula>
    </cfRule>
  </conditionalFormatting>
  <conditionalFormatting sqref="F56">
    <cfRule type="containsBlanks" dxfId="0" priority="8">
      <formula>LEN(TRIM(F56))=0</formula>
    </cfRule>
  </conditionalFormatting>
  <conditionalFormatting sqref="F59">
    <cfRule type="containsBlanks" dxfId="0" priority="9">
      <formula>LEN(TRIM(F59))=0</formula>
    </cfRule>
  </conditionalFormatting>
  <conditionalFormatting sqref="F61">
    <cfRule type="containsBlanks" dxfId="0" priority="10">
      <formula>LEN(TRIM(F61))=0</formula>
    </cfRule>
  </conditionalFormatting>
  <conditionalFormatting sqref="F63:F66">
    <cfRule type="containsBlanks" dxfId="0" priority="11">
      <formula>LEN(TRIM(F63))=0</formula>
    </cfRule>
  </conditionalFormatting>
  <conditionalFormatting sqref="F68:F81">
    <cfRule type="containsBlanks" dxfId="0" priority="12">
      <formula>LEN(TRIM(F68))=0</formula>
    </cfRule>
  </conditionalFormatting>
  <conditionalFormatting sqref="AC1:AC84">
    <cfRule type="cellIs" dxfId="1" priority="13" operator="equal">
      <formula>0</formula>
    </cfRule>
  </conditionalFormatting>
  <conditionalFormatting sqref="C2:C84">
    <cfRule type="containsBlanks" dxfId="3" priority="14">
      <formula>LEN(TRIM(C2))=0</formula>
    </cfRule>
  </conditionalFormatting>
  <conditionalFormatting sqref="E2:E84">
    <cfRule type="containsBlanks" dxfId="3" priority="15">
      <formula>LEN(TRIM(E2))=0</formula>
    </cfRule>
  </conditionalFormatting>
  <conditionalFormatting sqref="F24:F27">
    <cfRule type="containsBlanks" dxfId="3" priority="16">
      <formula>LEN(TRIM(F24))=0</formula>
    </cfRule>
  </conditionalFormatting>
  <conditionalFormatting sqref="F30">
    <cfRule type="containsBlanks" dxfId="3" priority="17">
      <formula>LEN(TRIM(F30))=0</formula>
    </cfRule>
  </conditionalFormatting>
  <conditionalFormatting sqref="F34">
    <cfRule type="containsBlanks" dxfId="3" priority="18">
      <formula>LEN(TRIM(F34))=0</formula>
    </cfRule>
  </conditionalFormatting>
  <conditionalFormatting sqref="F36:F45">
    <cfRule type="containsBlanks" dxfId="3" priority="19">
      <formula>LEN(TRIM(F36))=0</formula>
    </cfRule>
  </conditionalFormatting>
  <conditionalFormatting sqref="F48">
    <cfRule type="containsBlanks" dxfId="3" priority="20">
      <formula>LEN(TRIM(F48))=0</formula>
    </cfRule>
  </conditionalFormatting>
  <conditionalFormatting sqref="F50:F51">
    <cfRule type="containsBlanks" dxfId="3" priority="21">
      <formula>LEN(TRIM(F50))=0</formula>
    </cfRule>
  </conditionalFormatting>
  <conditionalFormatting sqref="F55">
    <cfRule type="containsBlanks" dxfId="3" priority="22">
      <formula>LEN(TRIM(F55))=0</formula>
    </cfRule>
  </conditionalFormatting>
  <conditionalFormatting sqref="F57:F58">
    <cfRule type="containsBlanks" dxfId="3" priority="23">
      <formula>LEN(TRIM(F57))=0</formula>
    </cfRule>
  </conditionalFormatting>
  <conditionalFormatting sqref="F60">
    <cfRule type="containsBlanks" dxfId="3" priority="24">
      <formula>LEN(TRIM(F60))=0</formula>
    </cfRule>
  </conditionalFormatting>
  <conditionalFormatting sqref="F62">
    <cfRule type="containsBlanks" dxfId="3" priority="25">
      <formula>LEN(TRIM(F62))=0</formula>
    </cfRule>
  </conditionalFormatting>
  <conditionalFormatting sqref="F67">
    <cfRule type="containsBlanks" dxfId="3" priority="26">
      <formula>LEN(TRIM(F67))=0</formula>
    </cfRule>
  </conditionalFormatting>
  <conditionalFormatting sqref="P1:R81">
    <cfRule type="containsBlanks" dxfId="3" priority="27">
      <formula>LEN(TRIM(P1))=0</formula>
    </cfRule>
  </conditionalFormatting>
  <conditionalFormatting sqref="T1:V81">
    <cfRule type="containsBlanks" dxfId="3" priority="28">
      <formula>LEN(TRIM(T1))=0</formula>
    </cfRule>
  </conditionalFormatting>
  <conditionalFormatting sqref="N1:N81">
    <cfRule type="cellIs" dxfId="4" priority="29" operator="equal">
      <formula>"FALSE"</formula>
    </cfRule>
  </conditionalFormatting>
  <conditionalFormatting sqref="N1:N81">
    <cfRule type="cellIs" dxfId="5" priority="30" operator="equal">
      <formula>"TRUE"</formula>
    </cfRule>
  </conditionalFormatting>
  <hyperlinks>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EE47"/>
    <hyperlink r:id="rId48" ref="B48"/>
    <hyperlink r:id="rId49" ref="B49"/>
    <hyperlink r:id="rId50" ref="B50"/>
    <hyperlink r:id="rId51" ref="B51"/>
    <hyperlink r:id="rId52" ref="B52"/>
    <hyperlink r:id="rId53" ref="B53"/>
    <hyperlink r:id="rId54" ref="B54"/>
    <hyperlink r:id="rId55" ref="B55"/>
    <hyperlink r:id="rId56" ref="B56"/>
    <hyperlink r:id="rId57" ref="B57"/>
    <hyperlink r:id="rId58" ref="B58"/>
    <hyperlink r:id="rId59" ref="B59"/>
    <hyperlink r:id="rId60" ref="B60"/>
    <hyperlink r:id="rId61" ref="B61"/>
    <hyperlink r:id="rId62" ref="B62"/>
    <hyperlink r:id="rId63" ref="B63"/>
    <hyperlink r:id="rId64" ref="B64"/>
    <hyperlink r:id="rId65" ref="B65"/>
    <hyperlink r:id="rId66" ref="B66"/>
    <hyperlink r:id="rId67" ref="B67"/>
    <hyperlink r:id="rId68" ref="B68"/>
    <hyperlink r:id="rId69" ref="B69"/>
    <hyperlink r:id="rId70" ref="B70"/>
    <hyperlink r:id="rId71" ref="B71"/>
    <hyperlink r:id="rId72" ref="B72"/>
    <hyperlink r:id="rId73" ref="EE72"/>
    <hyperlink r:id="rId74" ref="B73"/>
    <hyperlink r:id="rId75" ref="B74"/>
    <hyperlink r:id="rId76" ref="B75"/>
    <hyperlink r:id="rId77" ref="B76"/>
    <hyperlink r:id="rId78" ref="B77"/>
    <hyperlink r:id="rId79" ref="B78"/>
    <hyperlink r:id="rId80" ref="B79"/>
    <hyperlink r:id="rId81" ref="B80"/>
    <hyperlink r:id="rId82" ref="B81"/>
  </hyperlinks>
  <drawing r:id="rId83"/>
  <legacyDrawing r:id="rId8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ySplit="2.0" topLeftCell="F3" activePane="bottomRight" state="frozen"/>
      <selection activeCell="F1" sqref="F1" pane="topRight"/>
      <selection activeCell="A3" sqref="A3" pane="bottomLeft"/>
      <selection activeCell="F3" sqref="F3" pane="bottomRight"/>
    </sheetView>
  </sheetViews>
  <sheetFormatPr customHeight="1" defaultColWidth="12.63" defaultRowHeight="12.75"/>
  <cols>
    <col customWidth="1" min="1" max="1" width="60.0"/>
    <col customWidth="1" min="2" max="2" width="32.13"/>
    <col customWidth="1" min="3" max="3" width="15.13"/>
    <col customWidth="1" min="4" max="4" width="21.63"/>
    <col customWidth="1" min="5" max="23" width="15.13"/>
  </cols>
  <sheetData>
    <row r="1">
      <c r="A1" s="2"/>
      <c r="B1" s="3"/>
      <c r="C1" s="4"/>
      <c r="D1" s="10"/>
      <c r="E1" s="9">
        <f>countif(E3:E89, "")</f>
        <v>87</v>
      </c>
      <c r="F1" s="10"/>
      <c r="G1" s="212" t="s">
        <v>1366</v>
      </c>
      <c r="N1" s="12" t="s">
        <v>1</v>
      </c>
      <c r="W1" s="10"/>
    </row>
    <row r="2">
      <c r="A2" s="29" t="s">
        <v>38</v>
      </c>
      <c r="B2" s="57" t="s">
        <v>39</v>
      </c>
      <c r="C2" s="51" t="s">
        <v>1368</v>
      </c>
      <c r="D2" s="57" t="s">
        <v>46</v>
      </c>
      <c r="E2" s="56" t="s">
        <v>1369</v>
      </c>
      <c r="F2" s="53" t="s">
        <v>42</v>
      </c>
      <c r="G2" s="214" t="s">
        <v>43</v>
      </c>
      <c r="H2" s="58" t="s">
        <v>47</v>
      </c>
      <c r="I2" s="58" t="s">
        <v>48</v>
      </c>
      <c r="J2" s="58" t="s">
        <v>49</v>
      </c>
      <c r="K2" s="58" t="s">
        <v>50</v>
      </c>
      <c r="L2" s="58" t="s">
        <v>51</v>
      </c>
      <c r="M2" s="58" t="s">
        <v>52</v>
      </c>
      <c r="N2" s="59" t="s">
        <v>53</v>
      </c>
      <c r="O2" s="60" t="s">
        <v>54</v>
      </c>
      <c r="P2" s="60" t="s">
        <v>1370</v>
      </c>
      <c r="Q2" s="60" t="s">
        <v>56</v>
      </c>
      <c r="R2" s="60" t="s">
        <v>57</v>
      </c>
      <c r="S2" s="60" t="s">
        <v>58</v>
      </c>
      <c r="T2" s="60" t="s">
        <v>1371</v>
      </c>
      <c r="U2" s="60" t="s">
        <v>60</v>
      </c>
      <c r="V2" s="60" t="s">
        <v>61</v>
      </c>
      <c r="W2" s="57" t="s">
        <v>62</v>
      </c>
    </row>
    <row r="3">
      <c r="A3" s="124" t="s">
        <v>315</v>
      </c>
      <c r="B3" s="113" t="s">
        <v>316</v>
      </c>
      <c r="D3" s="80" t="s">
        <v>317</v>
      </c>
      <c r="E3" s="122"/>
      <c r="F3" s="122"/>
    </row>
    <row r="4">
      <c r="A4" s="124" t="s">
        <v>1415</v>
      </c>
      <c r="B4" s="229"/>
      <c r="D4" s="80" t="s">
        <v>1416</v>
      </c>
      <c r="E4" s="122"/>
      <c r="F4" s="122"/>
    </row>
    <row r="5">
      <c r="A5" s="124" t="s">
        <v>446</v>
      </c>
      <c r="B5" s="113" t="s">
        <v>447</v>
      </c>
      <c r="D5" s="80" t="s">
        <v>448</v>
      </c>
      <c r="E5" s="122"/>
      <c r="F5" s="122"/>
    </row>
    <row r="6">
      <c r="A6" s="124" t="s">
        <v>550</v>
      </c>
      <c r="B6" s="113" t="s">
        <v>551</v>
      </c>
      <c r="D6" s="80" t="s">
        <v>552</v>
      </c>
      <c r="E6" s="122"/>
      <c r="F6" s="122"/>
    </row>
    <row r="7">
      <c r="A7" s="124" t="s">
        <v>565</v>
      </c>
      <c r="B7" s="113" t="s">
        <v>566</v>
      </c>
      <c r="D7" s="80" t="s">
        <v>567</v>
      </c>
      <c r="E7" s="122"/>
      <c r="F7" s="122"/>
    </row>
    <row r="8">
      <c r="A8" s="124" t="s">
        <v>1417</v>
      </c>
      <c r="B8" s="113" t="s">
        <v>1418</v>
      </c>
      <c r="D8" s="126" t="s">
        <v>1419</v>
      </c>
      <c r="E8" s="122"/>
      <c r="F8" s="122"/>
    </row>
    <row r="9">
      <c r="A9" s="124" t="s">
        <v>787</v>
      </c>
      <c r="B9" s="229"/>
      <c r="E9" s="122"/>
      <c r="F9" s="122"/>
    </row>
    <row r="10">
      <c r="A10" s="124" t="s">
        <v>798</v>
      </c>
      <c r="B10" s="113" t="s">
        <v>799</v>
      </c>
      <c r="D10" s="80" t="s">
        <v>800</v>
      </c>
      <c r="E10" s="122"/>
      <c r="F10" s="122"/>
    </row>
    <row r="11">
      <c r="A11" s="124" t="s">
        <v>1420</v>
      </c>
      <c r="B11" s="113" t="s">
        <v>1421</v>
      </c>
      <c r="D11" s="80" t="s">
        <v>1422</v>
      </c>
      <c r="E11" s="122"/>
      <c r="F11" s="122"/>
    </row>
    <row r="12">
      <c r="A12" s="124" t="s">
        <v>1423</v>
      </c>
      <c r="B12" s="113" t="s">
        <v>1424</v>
      </c>
      <c r="D12" s="80" t="s">
        <v>1425</v>
      </c>
      <c r="E12" s="122"/>
      <c r="F12" s="122"/>
    </row>
    <row r="13">
      <c r="A13" s="124" t="s">
        <v>1426</v>
      </c>
      <c r="B13" s="113" t="s">
        <v>1427</v>
      </c>
      <c r="D13" s="80" t="s">
        <v>1428</v>
      </c>
      <c r="E13" s="122"/>
      <c r="F13" s="122"/>
    </row>
    <row r="14">
      <c r="A14" s="124" t="s">
        <v>1144</v>
      </c>
      <c r="B14" s="113" t="s">
        <v>1429</v>
      </c>
      <c r="E14" s="122"/>
      <c r="F14" s="122"/>
    </row>
    <row r="15">
      <c r="A15" s="124" t="s">
        <v>1430</v>
      </c>
      <c r="B15" s="113" t="s">
        <v>1431</v>
      </c>
      <c r="D15" s="80" t="s">
        <v>1432</v>
      </c>
      <c r="E15" s="122"/>
      <c r="F15" s="122"/>
    </row>
    <row r="16">
      <c r="B16" s="229"/>
      <c r="E16" s="122"/>
      <c r="F16" s="122"/>
    </row>
    <row r="17">
      <c r="B17" s="229"/>
      <c r="E17" s="122"/>
      <c r="F17" s="122"/>
    </row>
    <row r="18">
      <c r="F18" s="122"/>
    </row>
    <row r="19">
      <c r="A19" s="80" t="s">
        <v>1433</v>
      </c>
      <c r="B19" s="113" t="s">
        <v>1434</v>
      </c>
      <c r="D19" s="80" t="s">
        <v>1435</v>
      </c>
      <c r="F19" s="122"/>
    </row>
    <row r="20">
      <c r="A20" s="80" t="s">
        <v>1436</v>
      </c>
      <c r="B20" s="113" t="s">
        <v>1437</v>
      </c>
      <c r="D20" s="80" t="s">
        <v>1438</v>
      </c>
      <c r="F20" s="122"/>
    </row>
    <row r="21">
      <c r="A21" s="80" t="s">
        <v>1439</v>
      </c>
      <c r="B21" s="113" t="s">
        <v>1440</v>
      </c>
      <c r="D21" s="80" t="s">
        <v>1441</v>
      </c>
      <c r="F21" s="122"/>
    </row>
    <row r="22">
      <c r="A22" s="80" t="s">
        <v>1442</v>
      </c>
      <c r="B22" s="126" t="s">
        <v>1443</v>
      </c>
      <c r="D22" s="80" t="s">
        <v>1444</v>
      </c>
      <c r="F22" s="122"/>
    </row>
    <row r="23">
      <c r="A23" s="80" t="s">
        <v>315</v>
      </c>
      <c r="B23" s="126" t="s">
        <v>1445</v>
      </c>
      <c r="F23" s="122"/>
      <c r="W23" s="10"/>
    </row>
    <row r="24">
      <c r="A24" s="80" t="s">
        <v>1446</v>
      </c>
      <c r="B24" s="113" t="s">
        <v>1447</v>
      </c>
      <c r="D24" s="80" t="s">
        <v>1448</v>
      </c>
      <c r="E24" s="122"/>
      <c r="F24" s="122"/>
    </row>
    <row r="25">
      <c r="A25" s="80" t="s">
        <v>1449</v>
      </c>
      <c r="B25" s="113" t="s">
        <v>1450</v>
      </c>
      <c r="D25" s="80">
        <v>2008.0</v>
      </c>
      <c r="E25" s="122"/>
      <c r="F25" s="122"/>
    </row>
    <row r="26">
      <c r="A26" s="80" t="s">
        <v>1451</v>
      </c>
      <c r="B26" s="229"/>
      <c r="D26" s="80" t="s">
        <v>1452</v>
      </c>
      <c r="E26" s="122"/>
      <c r="F26" s="122"/>
    </row>
    <row r="27">
      <c r="A27" s="80" t="s">
        <v>538</v>
      </c>
      <c r="B27" s="113" t="s">
        <v>539</v>
      </c>
      <c r="D27" s="80" t="s">
        <v>1453</v>
      </c>
      <c r="E27" s="122"/>
      <c r="F27" s="122"/>
    </row>
    <row r="28">
      <c r="A28" s="80" t="s">
        <v>620</v>
      </c>
      <c r="B28" s="126" t="s">
        <v>1454</v>
      </c>
      <c r="D28" s="80" t="s">
        <v>622</v>
      </c>
      <c r="E28" s="122"/>
      <c r="F28" s="122"/>
    </row>
    <row r="29">
      <c r="A29" s="80" t="s">
        <v>1455</v>
      </c>
      <c r="B29" s="126" t="s">
        <v>1456</v>
      </c>
      <c r="D29" s="80" t="s">
        <v>1457</v>
      </c>
      <c r="F29" s="122"/>
    </row>
    <row r="30">
      <c r="A30" s="80" t="s">
        <v>702</v>
      </c>
      <c r="D30" s="80" t="s">
        <v>704</v>
      </c>
      <c r="F30" s="122"/>
    </row>
    <row r="31">
      <c r="A31" s="80" t="s">
        <v>1458</v>
      </c>
      <c r="B31" s="126" t="s">
        <v>1459</v>
      </c>
      <c r="D31" s="80" t="s">
        <v>1460</v>
      </c>
      <c r="E31" s="122"/>
      <c r="F31" s="122"/>
    </row>
    <row r="32">
      <c r="A32" s="80" t="s">
        <v>1461</v>
      </c>
      <c r="B32" s="113" t="s">
        <v>1462</v>
      </c>
      <c r="D32" s="80" t="s">
        <v>1463</v>
      </c>
      <c r="E32" s="122"/>
      <c r="F32" s="122"/>
    </row>
    <row r="33">
      <c r="A33" s="80" t="s">
        <v>892</v>
      </c>
      <c r="B33" s="113" t="s">
        <v>1464</v>
      </c>
      <c r="E33" s="122"/>
      <c r="F33" s="122"/>
    </row>
    <row r="34">
      <c r="A34" s="80" t="s">
        <v>1465</v>
      </c>
      <c r="B34" s="113" t="s">
        <v>1466</v>
      </c>
      <c r="D34" s="80" t="s">
        <v>1467</v>
      </c>
      <c r="E34" s="122"/>
      <c r="F34" s="122"/>
    </row>
    <row r="35">
      <c r="A35" s="80" t="s">
        <v>1059</v>
      </c>
      <c r="B35" s="126" t="s">
        <v>1060</v>
      </c>
      <c r="D35" s="80" t="s">
        <v>1061</v>
      </c>
      <c r="E35" s="122"/>
      <c r="F35" s="122"/>
    </row>
    <row r="36">
      <c r="A36" s="80" t="s">
        <v>1468</v>
      </c>
      <c r="B36" s="126" t="s">
        <v>1469</v>
      </c>
      <c r="D36" s="80" t="s">
        <v>1470</v>
      </c>
      <c r="E36" s="122"/>
      <c r="F36" s="122"/>
    </row>
    <row r="37">
      <c r="A37" s="80" t="s">
        <v>1471</v>
      </c>
      <c r="B37" s="126" t="s">
        <v>1472</v>
      </c>
      <c r="D37" s="80" t="s">
        <v>1473</v>
      </c>
      <c r="E37" s="122"/>
      <c r="F37" s="122"/>
    </row>
    <row r="38">
      <c r="A38" s="80" t="s">
        <v>1474</v>
      </c>
      <c r="B38" s="126" t="s">
        <v>1475</v>
      </c>
      <c r="D38" s="80" t="s">
        <v>1476</v>
      </c>
    </row>
    <row r="39">
      <c r="A39" s="80" t="s">
        <v>1477</v>
      </c>
      <c r="B39" s="126" t="s">
        <v>1478</v>
      </c>
      <c r="D39" s="80" t="s">
        <v>1479</v>
      </c>
    </row>
    <row r="40">
      <c r="A40" s="80" t="s">
        <v>1480</v>
      </c>
      <c r="B40" s="113" t="s">
        <v>1481</v>
      </c>
      <c r="D40" s="80" t="s">
        <v>1482</v>
      </c>
    </row>
    <row r="41">
      <c r="A41" s="80" t="s">
        <v>1182</v>
      </c>
      <c r="B41" s="113" t="s">
        <v>1183</v>
      </c>
      <c r="D41" s="80" t="s">
        <v>1483</v>
      </c>
    </row>
    <row r="42">
      <c r="A42" s="80" t="s">
        <v>1484</v>
      </c>
      <c r="D42" s="80" t="s">
        <v>1485</v>
      </c>
    </row>
    <row r="43">
      <c r="A43" s="80" t="s">
        <v>1486</v>
      </c>
      <c r="B43" s="113" t="s">
        <v>1487</v>
      </c>
      <c r="D43" s="80" t="s">
        <v>1488</v>
      </c>
      <c r="E43" s="122"/>
    </row>
    <row r="44">
      <c r="A44" s="80" t="s">
        <v>1489</v>
      </c>
      <c r="B44" s="113" t="s">
        <v>1490</v>
      </c>
      <c r="D44" s="80" t="s">
        <v>1491</v>
      </c>
      <c r="E44" s="122"/>
    </row>
    <row r="45">
      <c r="A45" s="80" t="s">
        <v>1492</v>
      </c>
      <c r="B45" s="113" t="s">
        <v>1493</v>
      </c>
      <c r="D45" s="80" t="s">
        <v>1494</v>
      </c>
    </row>
    <row r="46" ht="70.5" customHeight="1"/>
    <row r="47">
      <c r="E47" s="122"/>
    </row>
    <row r="48">
      <c r="D48" s="230" t="s">
        <v>1495</v>
      </c>
      <c r="E48" s="122"/>
    </row>
    <row r="49">
      <c r="A49" s="80" t="s">
        <v>775</v>
      </c>
      <c r="B49" s="126" t="s">
        <v>1496</v>
      </c>
      <c r="D49" s="80" t="s">
        <v>1497</v>
      </c>
    </row>
    <row r="50">
      <c r="A50" s="80" t="s">
        <v>1498</v>
      </c>
      <c r="B50" s="126" t="s">
        <v>1499</v>
      </c>
      <c r="D50" s="80" t="s">
        <v>1500</v>
      </c>
    </row>
    <row r="51">
      <c r="A51" s="80" t="s">
        <v>1224</v>
      </c>
      <c r="B51" s="126" t="s">
        <v>1501</v>
      </c>
      <c r="D51" s="80" t="s">
        <v>1502</v>
      </c>
      <c r="E51" s="122"/>
    </row>
    <row r="52">
      <c r="A52" s="80" t="s">
        <v>912</v>
      </c>
      <c r="B52" s="126" t="s">
        <v>1503</v>
      </c>
      <c r="D52" s="80" t="s">
        <v>1504</v>
      </c>
      <c r="E52" s="122"/>
    </row>
    <row r="53">
      <c r="A53" s="80" t="s">
        <v>1505</v>
      </c>
      <c r="B53" s="126" t="s">
        <v>1506</v>
      </c>
      <c r="D53" s="80" t="s">
        <v>1507</v>
      </c>
    </row>
    <row r="54">
      <c r="A54" s="80" t="s">
        <v>1508</v>
      </c>
      <c r="B54" s="126" t="s">
        <v>1509</v>
      </c>
      <c r="D54" s="80" t="s">
        <v>1510</v>
      </c>
    </row>
    <row r="55">
      <c r="A55" s="80" t="s">
        <v>1511</v>
      </c>
      <c r="B55" s="126" t="s">
        <v>1512</v>
      </c>
      <c r="D55" s="80" t="s">
        <v>1513</v>
      </c>
    </row>
    <row r="56">
      <c r="A56" s="80" t="s">
        <v>299</v>
      </c>
      <c r="B56" s="126" t="s">
        <v>1514</v>
      </c>
      <c r="D56" s="80" t="s">
        <v>1515</v>
      </c>
    </row>
    <row r="57">
      <c r="A57" s="80" t="s">
        <v>1516</v>
      </c>
      <c r="B57" s="126" t="s">
        <v>1517</v>
      </c>
      <c r="D57" s="80" t="s">
        <v>1518</v>
      </c>
    </row>
    <row r="58">
      <c r="A58" s="80" t="s">
        <v>626</v>
      </c>
      <c r="B58" s="126" t="s">
        <v>1519</v>
      </c>
      <c r="D58" s="80" t="s">
        <v>1520</v>
      </c>
    </row>
  </sheetData>
  <mergeCells count="2">
    <mergeCell ref="G1:M1"/>
    <mergeCell ref="N1:V1"/>
  </mergeCells>
  <conditionalFormatting sqref="C2:C17">
    <cfRule type="containsBlanks" dxfId="3" priority="1">
      <formula>LEN(TRIM(C2))=0</formula>
    </cfRule>
  </conditionalFormatting>
  <conditionalFormatting sqref="C19:C21">
    <cfRule type="containsBlanks" dxfId="3" priority="2">
      <formula>LEN(TRIM(C19))=0</formula>
    </cfRule>
  </conditionalFormatting>
  <conditionalFormatting sqref="C24:C27">
    <cfRule type="containsBlanks" dxfId="3" priority="3">
      <formula>LEN(TRIM(C24))=0</formula>
    </cfRule>
  </conditionalFormatting>
  <conditionalFormatting sqref="C32:C34">
    <cfRule type="containsBlanks" dxfId="3" priority="4">
      <formula>LEN(TRIM(C32))=0</formula>
    </cfRule>
  </conditionalFormatting>
  <conditionalFormatting sqref="C40:C41">
    <cfRule type="containsBlanks" dxfId="3" priority="5">
      <formula>LEN(TRIM(C40))=0</formula>
    </cfRule>
  </conditionalFormatting>
  <conditionalFormatting sqref="C43:C45">
    <cfRule type="containsBlanks" dxfId="3" priority="6">
      <formula>LEN(TRIM(C43))=0</formula>
    </cfRule>
  </conditionalFormatting>
  <conditionalFormatting sqref="E2">
    <cfRule type="containsBlanks" dxfId="3" priority="7">
      <formula>LEN(TRIM(E2))=0</formula>
    </cfRule>
  </conditionalFormatting>
  <conditionalFormatting sqref="P1:R21">
    <cfRule type="containsBlanks" dxfId="3" priority="8">
      <formula>LEN(TRIM(P1))=0</formula>
    </cfRule>
  </conditionalFormatting>
  <conditionalFormatting sqref="P23:R34">
    <cfRule type="containsBlanks" dxfId="3" priority="9">
      <formula>LEN(TRIM(P23))=0</formula>
    </cfRule>
  </conditionalFormatting>
  <conditionalFormatting sqref="T1:V21">
    <cfRule type="containsBlanks" dxfId="3" priority="10">
      <formula>LEN(TRIM(T1))=0</formula>
    </cfRule>
  </conditionalFormatting>
  <conditionalFormatting sqref="T23:V34">
    <cfRule type="containsBlanks" dxfId="3" priority="11">
      <formula>LEN(TRIM(T23))=0</formula>
    </cfRule>
  </conditionalFormatting>
  <conditionalFormatting sqref="N1:N21">
    <cfRule type="cellIs" dxfId="4" priority="12" operator="equal">
      <formula>"FALSE"</formula>
    </cfRule>
  </conditionalFormatting>
  <conditionalFormatting sqref="N23:N34">
    <cfRule type="cellIs" dxfId="4" priority="13" operator="equal">
      <formula>"FALSE"</formula>
    </cfRule>
  </conditionalFormatting>
  <conditionalFormatting sqref="N1:N21">
    <cfRule type="cellIs" dxfId="5" priority="14" operator="equal">
      <formula>"TRUE"</formula>
    </cfRule>
  </conditionalFormatting>
  <conditionalFormatting sqref="N23:N34">
    <cfRule type="cellIs" dxfId="5" priority="15" operator="equal">
      <formula>"TRUE"</formula>
    </cfRule>
  </conditionalFormatting>
  <hyperlinks>
    <hyperlink r:id="rId2" ref="B3"/>
    <hyperlink r:id="rId3" ref="B5"/>
    <hyperlink r:id="rId4" ref="B6"/>
    <hyperlink r:id="rId5" ref="B7"/>
    <hyperlink r:id="rId6" ref="B8"/>
    <hyperlink r:id="rId7" ref="D8"/>
    <hyperlink r:id="rId8" ref="B10"/>
    <hyperlink r:id="rId9" ref="B11"/>
    <hyperlink r:id="rId10" ref="B12"/>
    <hyperlink r:id="rId11" ref="B13"/>
    <hyperlink r:id="rId12" ref="B14"/>
    <hyperlink r:id="rId13" ref="B15"/>
    <hyperlink r:id="rId14" ref="B19"/>
    <hyperlink r:id="rId15" ref="B20"/>
    <hyperlink r:id="rId16" ref="B21"/>
    <hyperlink r:id="rId17" ref="B22"/>
    <hyperlink r:id="rId18" ref="B23"/>
    <hyperlink r:id="rId19" ref="B24"/>
    <hyperlink r:id="rId20" ref="B25"/>
    <hyperlink r:id="rId21" ref="B27"/>
    <hyperlink r:id="rId22" ref="B28"/>
    <hyperlink r:id="rId23" ref="B29"/>
    <hyperlink r:id="rId24" ref="B31"/>
    <hyperlink r:id="rId25" ref="B32"/>
    <hyperlink r:id="rId26" ref="B33"/>
    <hyperlink r:id="rId27" ref="B34"/>
    <hyperlink r:id="rId28" ref="B35"/>
    <hyperlink r:id="rId29" ref="B36"/>
    <hyperlink r:id="rId30" ref="B37"/>
    <hyperlink r:id="rId31" ref="B38"/>
    <hyperlink r:id="rId32" ref="B39"/>
    <hyperlink r:id="rId33" ref="B40"/>
    <hyperlink r:id="rId34" ref="B41"/>
    <hyperlink r:id="rId35" ref="B43"/>
    <hyperlink r:id="rId36" ref="B44"/>
    <hyperlink r:id="rId37" ref="B45"/>
    <hyperlink r:id="rId38" ref="B49"/>
    <hyperlink r:id="rId39" ref="B50"/>
    <hyperlink r:id="rId40" ref="B51"/>
    <hyperlink r:id="rId41" ref="B52"/>
    <hyperlink r:id="rId42" ref="B53"/>
    <hyperlink r:id="rId43" ref="B54"/>
    <hyperlink r:id="rId44" ref="B55"/>
    <hyperlink r:id="rId45" ref="B56"/>
    <hyperlink r:id="rId46" ref="B57"/>
    <hyperlink r:id="rId47" ref="B58"/>
  </hyperlinks>
  <drawing r:id="rId48"/>
  <legacyDrawing r:id="rId4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2.75"/>
  <cols>
    <col customWidth="1" min="1" max="1" width="45.0"/>
    <col customWidth="1" min="2" max="2" width="8.5"/>
    <col customWidth="1" hidden="1" min="3" max="3" width="5.88"/>
    <col customWidth="1" hidden="1" min="4" max="4" width="13.75"/>
    <col customWidth="1" min="5" max="5" width="7.38"/>
    <col customWidth="1" min="6" max="6" width="7.75"/>
    <col customWidth="1" min="8" max="13" width="5.25"/>
    <col customWidth="1" min="14" max="14" width="9.38"/>
    <col customWidth="1" min="15" max="15" width="10.0"/>
    <col customWidth="1" min="16" max="16" width="8.5"/>
    <col customWidth="1" min="17" max="17" width="8.38"/>
    <col customWidth="1" min="18" max="18" width="9.5"/>
    <col customWidth="1" min="19" max="19" width="10.25"/>
    <col customWidth="1" min="20" max="20" width="8.38"/>
    <col customWidth="1" min="21" max="21" width="8.63"/>
    <col customWidth="1" min="22" max="22" width="9.88"/>
    <col customWidth="1" min="23" max="23" width="39.13"/>
    <col customWidth="1" min="24" max="24" width="45.38"/>
    <col customWidth="1" min="25" max="25" width="48.88"/>
    <col customWidth="1" min="26" max="26" width="42.5"/>
    <col customWidth="1" min="27" max="27" width="15.13"/>
    <col customWidth="1" min="28" max="28" width="8.0"/>
    <col customWidth="1" min="29" max="29" width="5.63"/>
    <col customWidth="1" min="30" max="30" width="8.25"/>
    <col customWidth="1" min="31" max="31" width="15.13"/>
    <col customWidth="1" min="32" max="32" width="5.25"/>
    <col customWidth="1" min="33" max="33" width="8.63"/>
    <col customWidth="1" min="34" max="34" width="10.13"/>
    <col customWidth="1" min="35" max="35" width="7.63"/>
    <col customWidth="1" min="36" max="40" width="6.88"/>
    <col customWidth="1" min="41" max="41" width="15.13"/>
    <col customWidth="1" min="42" max="42" width="10.38"/>
    <col customWidth="1" min="43" max="45" width="7.0"/>
    <col customWidth="1" min="46" max="46" width="6.63"/>
    <col customWidth="1" min="47" max="47" width="7.0"/>
    <col customWidth="1" hidden="1" min="48" max="48" width="15.13"/>
    <col customWidth="1" min="49" max="51" width="8.5"/>
    <col customWidth="1" min="52" max="52" width="10.5"/>
    <col customWidth="1" min="53" max="53" width="11.63"/>
    <col customWidth="1" min="54" max="54" width="6.88"/>
    <col customWidth="1" min="55" max="55" width="11.5"/>
    <col customWidth="1" min="56" max="58" width="11.38"/>
    <col customWidth="1" min="59" max="59" width="12.75"/>
    <col customWidth="1" min="60" max="60" width="15.13"/>
    <col customWidth="1" min="61" max="61" width="10.5"/>
    <col customWidth="1" min="62" max="62" width="9.13"/>
    <col customWidth="1" min="63" max="63" width="10.5"/>
    <col customWidth="1" min="64" max="64" width="15.0"/>
    <col customWidth="1" min="65" max="66" width="7.5"/>
    <col customWidth="1" min="67" max="67" width="8.25"/>
    <col customWidth="1" min="68" max="68" width="7.63"/>
    <col customWidth="1" min="69" max="71" width="8.25"/>
    <col customWidth="1" min="72" max="72" width="13.75"/>
    <col customWidth="1" min="73" max="73" width="14.13"/>
    <col customWidth="1" min="74" max="74" width="12.88"/>
    <col customWidth="1" min="75" max="76" width="9.0"/>
    <col customWidth="1" min="77" max="77" width="10.5"/>
    <col customWidth="1" min="78" max="78" width="9.13"/>
    <col customWidth="1" min="79" max="79" width="5.25"/>
    <col customWidth="1" min="80" max="80" width="8.75"/>
    <col customWidth="1" min="81" max="81" width="9.25"/>
    <col customWidth="1" min="82" max="82" width="10.5"/>
    <col customWidth="1" min="83" max="83" width="15.13"/>
    <col customWidth="1" min="84" max="84" width="7.38"/>
    <col customWidth="1" min="85" max="86" width="8.13"/>
    <col customWidth="1" min="87" max="87" width="10.75"/>
    <col customWidth="1" min="88" max="88" width="9.63"/>
    <col customWidth="1" min="89" max="89" width="15.13"/>
    <col customWidth="1" min="90" max="90" width="9.63"/>
    <col customWidth="1" min="91" max="91" width="15.13"/>
    <col customWidth="1" min="92" max="92" width="11.63"/>
    <col customWidth="1" min="93" max="93" width="14.13"/>
    <col customWidth="1" min="94" max="94" width="10.88"/>
    <col customWidth="1" min="95" max="95" width="10.0"/>
    <col customWidth="1" min="96" max="96" width="7.88"/>
    <col customWidth="1" hidden="1" min="97" max="97" width="15.13"/>
    <col customWidth="1" min="98" max="102" width="15.13"/>
    <col customWidth="1" min="103" max="103" width="11.38"/>
    <col customWidth="1" min="104" max="104" width="15.13"/>
    <col customWidth="1" min="105" max="105" width="10.5"/>
    <col customWidth="1" min="106" max="106" width="7.75"/>
    <col customWidth="1" min="107" max="107" width="9.25"/>
    <col customWidth="1" min="108" max="108" width="10.75"/>
    <col customWidth="1" min="109" max="109" width="5.25"/>
    <col customWidth="1" min="110" max="111" width="15.13"/>
    <col customWidth="1" hidden="1" min="112" max="112" width="15.13"/>
    <col customWidth="1" min="113" max="114" width="15.13"/>
    <col customWidth="1" hidden="1" min="115" max="116" width="15.13"/>
    <col customWidth="1" min="117" max="118" width="5.75"/>
    <col customWidth="1" min="119" max="119" width="9.5"/>
    <col customWidth="1" min="120" max="120" width="5.0"/>
    <col customWidth="1" min="121" max="121" width="7.75"/>
    <col customWidth="1" min="122" max="122" width="7.5"/>
    <col customWidth="1" min="123" max="123" width="7.0"/>
    <col customWidth="1" min="124" max="124" width="13.5"/>
    <col customWidth="1" min="125" max="128" width="7.0"/>
    <col customWidth="1" min="129" max="129" width="4.5"/>
    <col customWidth="1" min="130" max="130" width="9.13"/>
    <col customWidth="1" min="131" max="131" width="5.13"/>
    <col customWidth="1" min="132" max="133" width="15.13"/>
    <col customWidth="1" min="134" max="134" width="10.38"/>
    <col customWidth="1" min="135" max="135" width="54.38"/>
    <col customWidth="1" min="136" max="136" width="15.13"/>
    <col customWidth="1" min="137" max="137" width="26.5"/>
    <col customWidth="1" min="138" max="138" width="15.13"/>
    <col customWidth="1" min="139" max="139" width="12.5"/>
    <col customWidth="1" min="140" max="140" width="9.13"/>
    <col customWidth="1" hidden="1" min="141" max="141" width="27.63"/>
  </cols>
  <sheetData>
    <row r="1">
      <c r="A1" s="2"/>
      <c r="B1" s="3"/>
      <c r="C1" s="4"/>
      <c r="D1" s="10"/>
      <c r="E1" s="231">
        <f>countif(E3:E81, "")</f>
        <v>0</v>
      </c>
      <c r="F1" s="10"/>
      <c r="G1" s="212" t="s">
        <v>1366</v>
      </c>
      <c r="N1" s="12" t="s">
        <v>1</v>
      </c>
      <c r="W1" s="10"/>
      <c r="X1" s="13" t="str">
        <f t="shared" ref="X1:X2" si="1">iferror(if(find("Pollock", Z1)&gt;0,concat(D1,", "), ""))</f>
        <v/>
      </c>
      <c r="Y1" s="10"/>
      <c r="Z1" s="14" t="s">
        <v>2</v>
      </c>
      <c r="AO1" s="13" t="str">
        <f t="shared" ref="AO1:AO2" si="2">iferror(if(find("Pollock", AP1)&gt;0,concat(R1,", "), ""))</f>
        <v/>
      </c>
      <c r="AP1" s="19" t="s">
        <v>1521</v>
      </c>
      <c r="AW1" s="23" t="s">
        <v>7</v>
      </c>
      <c r="BD1" s="24" t="s">
        <v>8</v>
      </c>
      <c r="BG1" s="25" t="s">
        <v>9</v>
      </c>
      <c r="BM1" s="18" t="s">
        <v>10</v>
      </c>
      <c r="BP1" s="16"/>
      <c r="BQ1" s="26" t="s">
        <v>11</v>
      </c>
      <c r="BT1" s="12" t="s">
        <v>12</v>
      </c>
      <c r="CB1" s="27" t="s">
        <v>13</v>
      </c>
      <c r="CN1" s="28" t="s">
        <v>14</v>
      </c>
      <c r="CT1" s="29" t="s">
        <v>15</v>
      </c>
      <c r="CY1" s="12" t="s">
        <v>1367</v>
      </c>
      <c r="DF1" s="39" t="s">
        <v>27</v>
      </c>
      <c r="DH1" s="10"/>
      <c r="DI1" s="40" t="s">
        <v>28</v>
      </c>
      <c r="DK1" s="10"/>
      <c r="DL1" s="10"/>
      <c r="DM1" s="19" t="s">
        <v>30</v>
      </c>
      <c r="DS1" s="41" t="s">
        <v>31</v>
      </c>
      <c r="EB1" s="24" t="s">
        <v>32</v>
      </c>
      <c r="ED1" s="42" t="s">
        <v>33</v>
      </c>
      <c r="EK1" s="213"/>
    </row>
    <row r="2" ht="1.5" customHeight="1">
      <c r="A2" s="29" t="s">
        <v>38</v>
      </c>
      <c r="B2" s="57" t="s">
        <v>39</v>
      </c>
      <c r="C2" s="51" t="s">
        <v>1368</v>
      </c>
      <c r="D2" s="57" t="s">
        <v>46</v>
      </c>
      <c r="E2" s="206" t="s">
        <v>1369</v>
      </c>
      <c r="F2" s="53" t="s">
        <v>42</v>
      </c>
      <c r="G2" s="214" t="s">
        <v>43</v>
      </c>
      <c r="H2" s="58" t="s">
        <v>47</v>
      </c>
      <c r="I2" s="58" t="s">
        <v>48</v>
      </c>
      <c r="J2" s="58" t="s">
        <v>49</v>
      </c>
      <c r="K2" s="58" t="s">
        <v>50</v>
      </c>
      <c r="L2" s="58" t="s">
        <v>51</v>
      </c>
      <c r="M2" s="58" t="s">
        <v>52</v>
      </c>
      <c r="N2" s="59" t="s">
        <v>53</v>
      </c>
      <c r="O2" s="60" t="s">
        <v>54</v>
      </c>
      <c r="P2" s="60" t="s">
        <v>1370</v>
      </c>
      <c r="Q2" s="60" t="s">
        <v>56</v>
      </c>
      <c r="R2" s="60" t="s">
        <v>57</v>
      </c>
      <c r="S2" s="60" t="s">
        <v>58</v>
      </c>
      <c r="T2" s="60" t="s">
        <v>1371</v>
      </c>
      <c r="U2" s="60" t="s">
        <v>60</v>
      </c>
      <c r="V2" s="60" t="s">
        <v>61</v>
      </c>
      <c r="W2" s="57" t="s">
        <v>62</v>
      </c>
      <c r="X2" s="61" t="str">
        <f t="shared" si="1"/>
        <v/>
      </c>
      <c r="Z2" s="62" t="s">
        <v>63</v>
      </c>
      <c r="AA2" s="62" t="s">
        <v>64</v>
      </c>
      <c r="AB2" s="55" t="s">
        <v>65</v>
      </c>
      <c r="AC2" s="55" t="s">
        <v>66</v>
      </c>
      <c r="AD2" s="55" t="s">
        <v>67</v>
      </c>
      <c r="AE2" s="55" t="s">
        <v>66</v>
      </c>
      <c r="AF2" s="55" t="s">
        <v>44</v>
      </c>
      <c r="AG2" s="55" t="s">
        <v>68</v>
      </c>
      <c r="AH2" s="55" t="s">
        <v>69</v>
      </c>
      <c r="AI2" s="63" t="s">
        <v>70</v>
      </c>
      <c r="AJ2" s="55" t="s">
        <v>71</v>
      </c>
      <c r="AK2" s="55" t="s">
        <v>72</v>
      </c>
      <c r="AL2" s="55" t="s">
        <v>73</v>
      </c>
      <c r="AM2" s="55" t="s">
        <v>74</v>
      </c>
      <c r="AN2" s="55" t="s">
        <v>75</v>
      </c>
      <c r="AO2" s="61" t="str">
        <f t="shared" si="2"/>
        <v/>
      </c>
      <c r="AP2" s="65" t="s">
        <v>87</v>
      </c>
      <c r="AQ2" s="65" t="s">
        <v>88</v>
      </c>
      <c r="AR2" s="65" t="s">
        <v>89</v>
      </c>
      <c r="AS2" s="66" t="s">
        <v>90</v>
      </c>
      <c r="AT2" s="66" t="s">
        <v>91</v>
      </c>
      <c r="AU2" s="86" t="s">
        <v>85</v>
      </c>
      <c r="AV2" s="86" t="s">
        <v>92</v>
      </c>
      <c r="AW2" s="215" t="s">
        <v>96</v>
      </c>
      <c r="AX2" s="215" t="s">
        <v>97</v>
      </c>
      <c r="AY2" s="215" t="s">
        <v>98</v>
      </c>
      <c r="AZ2" s="215" t="s">
        <v>99</v>
      </c>
      <c r="BA2" s="215" t="s">
        <v>100</v>
      </c>
      <c r="BB2" s="215" t="s">
        <v>101</v>
      </c>
      <c r="BC2" s="215" t="s">
        <v>85</v>
      </c>
      <c r="BD2" s="88" t="s">
        <v>102</v>
      </c>
      <c r="BE2" s="88" t="s">
        <v>103</v>
      </c>
      <c r="BF2" s="88" t="s">
        <v>104</v>
      </c>
      <c r="BG2" s="199" t="s">
        <v>105</v>
      </c>
      <c r="BH2" s="199" t="s">
        <v>106</v>
      </c>
      <c r="BI2" s="199" t="s">
        <v>107</v>
      </c>
      <c r="BJ2" s="199" t="s">
        <v>108</v>
      </c>
      <c r="BK2" s="199" t="s">
        <v>109</v>
      </c>
      <c r="BL2" s="199" t="s">
        <v>85</v>
      </c>
      <c r="BM2" s="87" t="s">
        <v>112</v>
      </c>
      <c r="BN2" s="87" t="s">
        <v>113</v>
      </c>
      <c r="BO2" s="87" t="s">
        <v>114</v>
      </c>
      <c r="BQ2" s="200" t="s">
        <v>115</v>
      </c>
      <c r="BR2" s="200" t="s">
        <v>116</v>
      </c>
      <c r="BS2" s="200" t="s">
        <v>117</v>
      </c>
      <c r="BT2" s="60" t="s">
        <v>118</v>
      </c>
      <c r="BU2" s="60" t="s">
        <v>119</v>
      </c>
      <c r="BV2" s="60" t="s">
        <v>120</v>
      </c>
      <c r="BW2" s="60" t="s">
        <v>121</v>
      </c>
      <c r="BX2" s="60" t="s">
        <v>122</v>
      </c>
      <c r="BY2" s="60" t="s">
        <v>123</v>
      </c>
      <c r="BZ2" s="60" t="s">
        <v>124</v>
      </c>
      <c r="CA2" s="60" t="s">
        <v>85</v>
      </c>
      <c r="CB2" s="77" t="s">
        <v>125</v>
      </c>
      <c r="CC2" s="77" t="s">
        <v>126</v>
      </c>
      <c r="CD2" s="78" t="s">
        <v>127</v>
      </c>
      <c r="CE2" s="78" t="s">
        <v>128</v>
      </c>
      <c r="CF2" s="77" t="s">
        <v>129</v>
      </c>
      <c r="CG2" s="77" t="s">
        <v>130</v>
      </c>
      <c r="CH2" s="77" t="s">
        <v>131</v>
      </c>
      <c r="CI2" s="77" t="s">
        <v>132</v>
      </c>
      <c r="CJ2" s="77" t="s">
        <v>133</v>
      </c>
      <c r="CK2" s="77" t="s">
        <v>134</v>
      </c>
      <c r="CL2" s="77" t="s">
        <v>85</v>
      </c>
      <c r="CM2" s="77" t="s">
        <v>92</v>
      </c>
      <c r="CN2" s="56" t="s">
        <v>135</v>
      </c>
      <c r="CO2" s="56" t="s">
        <v>136</v>
      </c>
      <c r="CP2" s="56" t="s">
        <v>137</v>
      </c>
      <c r="CQ2" s="56" t="s">
        <v>138</v>
      </c>
      <c r="CR2" s="56" t="s">
        <v>85</v>
      </c>
      <c r="CS2" s="56" t="s">
        <v>92</v>
      </c>
      <c r="CT2" s="57" t="s">
        <v>139</v>
      </c>
      <c r="CU2" s="57" t="s">
        <v>140</v>
      </c>
      <c r="CV2" s="57" t="s">
        <v>141</v>
      </c>
      <c r="CW2" s="57" t="s">
        <v>142</v>
      </c>
      <c r="CX2" s="57" t="s">
        <v>143</v>
      </c>
      <c r="CY2" s="60" t="s">
        <v>1372</v>
      </c>
      <c r="CZ2" s="60" t="s">
        <v>160</v>
      </c>
      <c r="DA2" s="60" t="s">
        <v>161</v>
      </c>
      <c r="DB2" s="60" t="s">
        <v>162</v>
      </c>
      <c r="DC2" s="60" t="s">
        <v>147</v>
      </c>
      <c r="DD2" s="60" t="s">
        <v>163</v>
      </c>
      <c r="DE2" s="60" t="s">
        <v>85</v>
      </c>
      <c r="DF2" s="85" t="s">
        <v>182</v>
      </c>
      <c r="DG2" s="85" t="s">
        <v>183</v>
      </c>
      <c r="DI2" s="77" t="s">
        <v>184</v>
      </c>
      <c r="DJ2" s="77" t="s">
        <v>185</v>
      </c>
      <c r="DM2" s="86" t="s">
        <v>186</v>
      </c>
      <c r="DN2" s="86" t="s">
        <v>187</v>
      </c>
      <c r="DO2" s="86" t="s">
        <v>188</v>
      </c>
      <c r="DP2" s="86" t="s">
        <v>189</v>
      </c>
      <c r="DQ2" s="86" t="s">
        <v>190</v>
      </c>
      <c r="DR2" s="86" t="s">
        <v>85</v>
      </c>
      <c r="DS2" s="87" t="s">
        <v>191</v>
      </c>
      <c r="DT2" s="87" t="s">
        <v>192</v>
      </c>
      <c r="DU2" s="87" t="s">
        <v>193</v>
      </c>
      <c r="DV2" s="87" t="s">
        <v>194</v>
      </c>
      <c r="DW2" s="87" t="s">
        <v>195</v>
      </c>
      <c r="DX2" s="87" t="s">
        <v>196</v>
      </c>
      <c r="DY2" s="87" t="s">
        <v>189</v>
      </c>
      <c r="DZ2" s="87" t="s">
        <v>190</v>
      </c>
      <c r="EA2" s="87" t="s">
        <v>85</v>
      </c>
      <c r="EB2" s="88" t="s">
        <v>197</v>
      </c>
      <c r="EC2" s="88" t="s">
        <v>198</v>
      </c>
      <c r="ED2" s="89" t="s">
        <v>199</v>
      </c>
      <c r="EE2" s="90" t="s">
        <v>200</v>
      </c>
      <c r="EF2" s="91" t="s">
        <v>201</v>
      </c>
      <c r="EG2" s="90" t="s">
        <v>202</v>
      </c>
      <c r="EH2" s="90" t="s">
        <v>203</v>
      </c>
      <c r="EI2" s="90" t="s">
        <v>204</v>
      </c>
      <c r="EJ2" s="90" t="s">
        <v>205</v>
      </c>
      <c r="EK2" s="57" t="s">
        <v>1373</v>
      </c>
    </row>
    <row r="3" ht="11.25" customHeight="1">
      <c r="A3" s="80" t="s">
        <v>207</v>
      </c>
      <c r="B3" s="106" t="s">
        <v>1522</v>
      </c>
      <c r="C3" s="80" t="s">
        <v>209</v>
      </c>
      <c r="D3" s="80" t="s">
        <v>212</v>
      </c>
      <c r="E3" s="73" t="s">
        <v>217</v>
      </c>
      <c r="F3" s="80" t="s">
        <v>210</v>
      </c>
      <c r="G3" s="80" t="s">
        <v>211</v>
      </c>
      <c r="H3" s="61">
        <f t="shared" ref="H3:H81" si="3">if(AND(C3="Aysu", F3="Vahid"), 1, "")</f>
        <v>1</v>
      </c>
      <c r="I3" s="61" t="str">
        <f t="shared" ref="I3:I81" si="4">if(AND(C3="Aysu", F3="Ali"), 1, "")</f>
        <v/>
      </c>
      <c r="J3" s="61" t="str">
        <f t="shared" ref="J3:J81" si="5">if(AND(C3="Vahid", F3="Aysu"), 1, "")</f>
        <v/>
      </c>
      <c r="K3" s="61" t="str">
        <f t="shared" ref="K3:K81" si="6">if(AND(C3="Vahid", F3="Ali"), 1, "")</f>
        <v/>
      </c>
      <c r="L3" s="61" t="str">
        <f t="shared" ref="L3:L81" si="7">if(AND(C3="Ali", F3="Vahid"), 1, "")</f>
        <v/>
      </c>
      <c r="M3" s="61" t="str">
        <f t="shared" ref="M3:M81" si="8">if(AND(C3="Ali", F3="Aysu"), 1, "")</f>
        <v/>
      </c>
      <c r="N3" s="61" t="b">
        <f t="shared" ref="N3:N51" si="9">and(O3,S3)</f>
        <v>1</v>
      </c>
      <c r="O3" s="61" t="b">
        <f t="shared" ref="O3:O18" si="10">SUM(P3:R3)&gt;=2</f>
        <v>1</v>
      </c>
      <c r="P3" s="80">
        <v>1.0</v>
      </c>
      <c r="Q3" s="80">
        <v>1.0</v>
      </c>
      <c r="R3" s="80">
        <v>1.0</v>
      </c>
      <c r="S3" s="61" t="b">
        <f t="shared" ref="S3:S51" si="11">SUM(T3:V3)&gt;=2</f>
        <v>1</v>
      </c>
      <c r="T3" s="80">
        <v>0.0</v>
      </c>
      <c r="U3" s="80">
        <v>1.0</v>
      </c>
      <c r="V3" s="80">
        <v>1.0</v>
      </c>
      <c r="X3" s="61" t="str">
        <f>concat(D3,", ")</f>
        <v>Tonella:wse04, </v>
      </c>
      <c r="Y3" s="61" t="str">
        <f t="shared" ref="Y3:Y81" si="12">if(DY3="x",concat(D3,", "), "")</f>
        <v/>
      </c>
      <c r="Z3" s="114" t="s">
        <v>213</v>
      </c>
      <c r="AA3" s="80" t="s">
        <v>214</v>
      </c>
      <c r="AC3" s="61">
        <f>countif('Charts-SLR'!A:A,AA3)</f>
        <v>1</v>
      </c>
      <c r="AD3" s="80" t="s">
        <v>215</v>
      </c>
      <c r="AE3" s="61">
        <f t="shared" ref="AE3:AE81" si="13">countif({},AD3)</f>
        <v>0</v>
      </c>
      <c r="AF3" s="80">
        <v>2004.0</v>
      </c>
      <c r="AG3" s="80" t="s">
        <v>216</v>
      </c>
      <c r="AH3" s="80">
        <v>37.0</v>
      </c>
      <c r="AI3" s="108">
        <f t="shared" ref="AI3:AI81" si="14">AH3/(2012-AF3)</f>
        <v>4.625</v>
      </c>
      <c r="AJ3" s="61" t="str">
        <f t="shared" ref="AJ3:AJ81" si="15">if(AG3="J",AH3,"")</f>
        <v/>
      </c>
      <c r="AK3" s="61" t="str">
        <f t="shared" ref="AK3:AK81" si="16">if(AG3="C",AH3,"")</f>
        <v/>
      </c>
      <c r="AL3" s="61">
        <f t="shared" ref="AL3:AL81" si="17">if(AG3="W", AH3,"")</f>
        <v>37</v>
      </c>
      <c r="AM3" s="61" t="str">
        <f t="shared" ref="AM3:AM81" si="18">if(AG3="M",AH3,"")</f>
        <v/>
      </c>
      <c r="AN3" s="61" t="str">
        <f t="shared" ref="AN3:AN81" si="19">if(AG3="S",AH3,"")</f>
        <v/>
      </c>
      <c r="AO3" s="61" t="str">
        <f t="shared" ref="AO3:AO81" si="20">if(AU3="x",concat(D3,", "), "")</f>
        <v/>
      </c>
      <c r="AR3" s="80" t="s">
        <v>217</v>
      </c>
      <c r="AV3" s="61">
        <f t="shared" ref="AV3:AV81" si="21">COUNTA(AP3:AU3)</f>
        <v>1</v>
      </c>
      <c r="AW3" s="80" t="s">
        <v>217</v>
      </c>
      <c r="BD3" s="80" t="s">
        <v>217</v>
      </c>
      <c r="BG3" s="80" t="s">
        <v>217</v>
      </c>
      <c r="BO3" s="216" t="s">
        <v>217</v>
      </c>
      <c r="BS3" s="80" t="s">
        <v>217</v>
      </c>
      <c r="BT3" s="80" t="s">
        <v>217</v>
      </c>
      <c r="CE3" s="80" t="s">
        <v>217</v>
      </c>
      <c r="CM3" s="61">
        <f t="shared" ref="CM3:CM81" si="22">counta(CB3:CL3)</f>
        <v>1</v>
      </c>
      <c r="CN3" s="80" t="s">
        <v>217</v>
      </c>
      <c r="CS3" s="61">
        <f t="shared" ref="CS3:CS81" si="23">counta(CN3:CR3)</f>
        <v>1</v>
      </c>
      <c r="CT3" s="80" t="s">
        <v>217</v>
      </c>
      <c r="CV3" s="61" t="str">
        <f t="shared" ref="CV3:CV81" si="24">if(and(CT3="x",CU3="x"), "both", "")</f>
        <v/>
      </c>
      <c r="CW3" s="61" t="str">
        <f t="shared" ref="CW3:CW81" si="25">if(and(CT3="x",CU3=""), "FM", "")</f>
        <v>FM</v>
      </c>
      <c r="CX3" s="61" t="str">
        <f t="shared" ref="CX3:CX81" si="26">if(and(CU3="x",CT3=""), "FA", "")</f>
        <v/>
      </c>
      <c r="CY3" s="217" t="s">
        <v>217</v>
      </c>
      <c r="DA3" s="80" t="s">
        <v>221</v>
      </c>
      <c r="DD3" s="80" t="s">
        <v>217</v>
      </c>
      <c r="DG3" s="80" t="s">
        <v>217</v>
      </c>
      <c r="DH3" s="61" t="str">
        <f t="shared" ref="DH3:DH81" si="27">if(and(DF3="",DG3=""), "both", "")</f>
        <v/>
      </c>
      <c r="DI3" s="80" t="s">
        <v>217</v>
      </c>
      <c r="DK3" s="61" t="str">
        <f t="shared" ref="DK3:DK36" si="28">if(and(DJ3="x",DI3="x"), "both", "")</f>
        <v/>
      </c>
      <c r="DL3" s="61" t="str">
        <f t="shared" ref="DL3:DL36" si="29">if(and(DI3="",DJ3=""), "none", "")</f>
        <v/>
      </c>
      <c r="DM3" s="80" t="s">
        <v>217</v>
      </c>
      <c r="DO3" s="80" t="s">
        <v>217</v>
      </c>
      <c r="DS3" s="80" t="s">
        <v>217</v>
      </c>
      <c r="ED3" s="80">
        <v>1.0</v>
      </c>
      <c r="EE3" s="114" t="s">
        <v>222</v>
      </c>
      <c r="EF3" s="112">
        <v>556.0</v>
      </c>
      <c r="EG3" s="80" t="s">
        <v>223</v>
      </c>
      <c r="EI3" s="80" t="s">
        <v>217</v>
      </c>
    </row>
    <row r="4" ht="13.5" customHeight="1">
      <c r="A4" s="80" t="s">
        <v>225</v>
      </c>
      <c r="B4" s="106" t="s">
        <v>226</v>
      </c>
      <c r="C4" s="80" t="s">
        <v>209</v>
      </c>
      <c r="D4" s="80" t="s">
        <v>228</v>
      </c>
      <c r="E4" s="73" t="s">
        <v>217</v>
      </c>
      <c r="F4" s="80" t="s">
        <v>210</v>
      </c>
      <c r="G4" s="80" t="s">
        <v>227</v>
      </c>
      <c r="H4" s="61">
        <f t="shared" si="3"/>
        <v>1</v>
      </c>
      <c r="I4" s="61" t="str">
        <f t="shared" si="4"/>
        <v/>
      </c>
      <c r="J4" s="61" t="str">
        <f t="shared" si="5"/>
        <v/>
      </c>
      <c r="K4" s="61" t="str">
        <f t="shared" si="6"/>
        <v/>
      </c>
      <c r="L4" s="61" t="str">
        <f t="shared" si="7"/>
        <v/>
      </c>
      <c r="M4" s="61" t="str">
        <f t="shared" si="8"/>
        <v/>
      </c>
      <c r="N4" s="61" t="b">
        <f t="shared" si="9"/>
        <v>1</v>
      </c>
      <c r="O4" s="61" t="b">
        <f t="shared" si="10"/>
        <v>1</v>
      </c>
      <c r="P4" s="80">
        <v>1.0</v>
      </c>
      <c r="Q4" s="80">
        <v>1.0</v>
      </c>
      <c r="R4" s="80">
        <v>1.0</v>
      </c>
      <c r="S4" s="61" t="b">
        <f t="shared" si="11"/>
        <v>1</v>
      </c>
      <c r="T4" s="80">
        <v>1.0</v>
      </c>
      <c r="U4" s="80">
        <v>1.0</v>
      </c>
      <c r="V4" s="80">
        <v>1.0</v>
      </c>
      <c r="X4" s="61" t="str">
        <f t="shared" ref="X4:X81" si="30">iferror(if(find("Pollock", Z4)&gt;0,concat(D4,", "), ""))</f>
        <v/>
      </c>
      <c r="Y4" s="61" t="str">
        <f t="shared" si="12"/>
        <v/>
      </c>
      <c r="Z4" s="80" t="s">
        <v>229</v>
      </c>
      <c r="AA4" s="80" t="s">
        <v>214</v>
      </c>
      <c r="AC4" s="61">
        <f>countif('Charts-SLR'!A:A,AA4)</f>
        <v>1</v>
      </c>
      <c r="AD4" s="80" t="s">
        <v>230</v>
      </c>
      <c r="AE4" s="61">
        <f t="shared" si="13"/>
        <v>0</v>
      </c>
      <c r="AF4" s="80">
        <v>2008.0</v>
      </c>
      <c r="AG4" s="80" t="s">
        <v>231</v>
      </c>
      <c r="AH4" s="80">
        <v>19.0</v>
      </c>
      <c r="AI4" s="108">
        <f t="shared" si="14"/>
        <v>4.75</v>
      </c>
      <c r="AJ4" s="61">
        <f t="shared" si="15"/>
        <v>19</v>
      </c>
      <c r="AK4" s="61" t="str">
        <f t="shared" si="16"/>
        <v/>
      </c>
      <c r="AL4" s="61" t="str">
        <f t="shared" si="17"/>
        <v/>
      </c>
      <c r="AM4" s="61" t="str">
        <f t="shared" si="18"/>
        <v/>
      </c>
      <c r="AN4" s="61" t="str">
        <f t="shared" si="19"/>
        <v/>
      </c>
      <c r="AO4" s="61" t="str">
        <f t="shared" si="20"/>
        <v>Marchetto:sttt08, </v>
      </c>
      <c r="AU4" s="80" t="s">
        <v>217</v>
      </c>
      <c r="AV4" s="61">
        <f t="shared" si="21"/>
        <v>1</v>
      </c>
      <c r="AY4" s="80" t="s">
        <v>217</v>
      </c>
      <c r="BD4" s="80" t="s">
        <v>217</v>
      </c>
      <c r="BF4" s="80" t="s">
        <v>217</v>
      </c>
      <c r="BG4" s="80" t="s">
        <v>217</v>
      </c>
      <c r="BI4" s="80" t="s">
        <v>217</v>
      </c>
      <c r="BJ4" s="80" t="s">
        <v>217</v>
      </c>
      <c r="BM4" s="80" t="s">
        <v>217</v>
      </c>
      <c r="BO4" s="218" t="str">
        <f t="shared" ref="BO4:BO9" si="31">if(and(BM4="x",BN4="x"), "x", "")</f>
        <v/>
      </c>
      <c r="BQ4" s="80" t="s">
        <v>217</v>
      </c>
      <c r="BS4" s="80" t="s">
        <v>217</v>
      </c>
      <c r="BT4" s="80" t="s">
        <v>217</v>
      </c>
      <c r="BV4" s="80" t="s">
        <v>217</v>
      </c>
      <c r="BY4" s="80" t="s">
        <v>217</v>
      </c>
      <c r="CB4" s="80" t="s">
        <v>217</v>
      </c>
      <c r="CI4" s="80" t="s">
        <v>217</v>
      </c>
      <c r="CK4" s="80" t="s">
        <v>217</v>
      </c>
      <c r="CM4" s="61">
        <f t="shared" si="22"/>
        <v>3</v>
      </c>
      <c r="CN4" s="80" t="s">
        <v>217</v>
      </c>
      <c r="CS4" s="61">
        <f t="shared" si="23"/>
        <v>1</v>
      </c>
      <c r="CU4" s="80" t="s">
        <v>217</v>
      </c>
      <c r="CV4" s="61" t="str">
        <f t="shared" si="24"/>
        <v/>
      </c>
      <c r="CW4" s="61" t="str">
        <f t="shared" si="25"/>
        <v/>
      </c>
      <c r="CX4" s="61" t="str">
        <f t="shared" si="26"/>
        <v>FA</v>
      </c>
      <c r="CZ4" s="80" t="s">
        <v>217</v>
      </c>
      <c r="DG4" s="80" t="s">
        <v>217</v>
      </c>
      <c r="DH4" s="61" t="str">
        <f t="shared" si="27"/>
        <v/>
      </c>
      <c r="DJ4" s="80" t="s">
        <v>217</v>
      </c>
      <c r="DK4" s="61" t="str">
        <f t="shared" si="28"/>
        <v/>
      </c>
      <c r="DL4" s="61" t="str">
        <f t="shared" si="29"/>
        <v/>
      </c>
      <c r="DM4" s="80" t="s">
        <v>217</v>
      </c>
      <c r="DN4" s="80" t="s">
        <v>217</v>
      </c>
      <c r="DO4" s="80" t="s">
        <v>217</v>
      </c>
      <c r="ED4" s="80">
        <v>2.0</v>
      </c>
      <c r="EE4" s="80" t="s">
        <v>240</v>
      </c>
      <c r="EF4" s="112">
        <v>5400.0</v>
      </c>
      <c r="EG4" s="80" t="s">
        <v>241</v>
      </c>
      <c r="EI4" s="80" t="s">
        <v>217</v>
      </c>
    </row>
    <row r="5" ht="1.5" customHeight="1">
      <c r="A5" s="80" t="s">
        <v>243</v>
      </c>
      <c r="B5" s="113" t="s">
        <v>244</v>
      </c>
      <c r="C5" s="80" t="s">
        <v>245</v>
      </c>
      <c r="D5" s="80" t="s">
        <v>246</v>
      </c>
      <c r="E5" s="73" t="s">
        <v>217</v>
      </c>
      <c r="F5" s="80" t="s">
        <v>209</v>
      </c>
      <c r="G5" s="80" t="s">
        <v>211</v>
      </c>
      <c r="H5" s="61" t="str">
        <f t="shared" si="3"/>
        <v/>
      </c>
      <c r="I5" s="61" t="str">
        <f t="shared" si="4"/>
        <v/>
      </c>
      <c r="J5" s="61" t="str">
        <f t="shared" si="5"/>
        <v/>
      </c>
      <c r="K5" s="61" t="str">
        <f t="shared" si="6"/>
        <v/>
      </c>
      <c r="L5" s="61" t="str">
        <f t="shared" si="7"/>
        <v/>
      </c>
      <c r="M5" s="61">
        <f t="shared" si="8"/>
        <v>1</v>
      </c>
      <c r="N5" s="61" t="b">
        <f t="shared" si="9"/>
        <v>1</v>
      </c>
      <c r="O5" s="61" t="b">
        <f t="shared" si="10"/>
        <v>1</v>
      </c>
      <c r="P5" s="80">
        <v>1.0</v>
      </c>
      <c r="Q5" s="80">
        <v>1.0</v>
      </c>
      <c r="R5" s="80">
        <v>1.0</v>
      </c>
      <c r="S5" s="61" t="b">
        <f t="shared" si="11"/>
        <v>1</v>
      </c>
      <c r="T5" s="80">
        <v>1.0</v>
      </c>
      <c r="U5" s="80">
        <v>1.0</v>
      </c>
      <c r="V5" s="80">
        <v>1.0</v>
      </c>
      <c r="X5" s="61" t="str">
        <f t="shared" si="30"/>
        <v/>
      </c>
      <c r="Y5" s="61" t="str">
        <f t="shared" si="12"/>
        <v>Artzi:icse2011, </v>
      </c>
      <c r="Z5" s="114" t="s">
        <v>247</v>
      </c>
      <c r="AA5" s="80" t="s">
        <v>248</v>
      </c>
      <c r="AB5" s="80" t="s">
        <v>217</v>
      </c>
      <c r="AC5" s="80">
        <v>1.0</v>
      </c>
      <c r="AD5" s="80" t="s">
        <v>249</v>
      </c>
      <c r="AE5" s="61">
        <f t="shared" si="13"/>
        <v>0</v>
      </c>
      <c r="AF5" s="80">
        <v>2011.0</v>
      </c>
      <c r="AG5" s="80" t="s">
        <v>250</v>
      </c>
      <c r="AH5" s="80">
        <v>5.0</v>
      </c>
      <c r="AI5" s="108">
        <f t="shared" si="14"/>
        <v>5</v>
      </c>
      <c r="AJ5" s="61" t="str">
        <f t="shared" si="15"/>
        <v/>
      </c>
      <c r="AK5" s="61">
        <f t="shared" si="16"/>
        <v>5</v>
      </c>
      <c r="AL5" s="61" t="str">
        <f t="shared" si="17"/>
        <v/>
      </c>
      <c r="AM5" s="61" t="str">
        <f t="shared" si="18"/>
        <v/>
      </c>
      <c r="AN5" s="61" t="str">
        <f t="shared" si="19"/>
        <v/>
      </c>
      <c r="AO5" s="61" t="str">
        <f t="shared" si="20"/>
        <v/>
      </c>
      <c r="AP5" s="80" t="s">
        <v>217</v>
      </c>
      <c r="AQ5" s="80" t="s">
        <v>217</v>
      </c>
      <c r="AR5" s="80" t="s">
        <v>217</v>
      </c>
      <c r="AV5" s="61">
        <f t="shared" si="21"/>
        <v>3</v>
      </c>
      <c r="AX5" s="80" t="s">
        <v>217</v>
      </c>
      <c r="BF5" s="80" t="s">
        <v>217</v>
      </c>
      <c r="BG5" s="80" t="s">
        <v>217</v>
      </c>
      <c r="BI5" s="80" t="s">
        <v>217</v>
      </c>
      <c r="BJ5" s="80" t="s">
        <v>217</v>
      </c>
      <c r="BM5" s="80" t="s">
        <v>217</v>
      </c>
      <c r="BO5" s="218" t="str">
        <f t="shared" si="31"/>
        <v/>
      </c>
      <c r="BS5" s="80" t="s">
        <v>217</v>
      </c>
      <c r="BT5" s="80" t="s">
        <v>217</v>
      </c>
      <c r="CE5" s="80" t="s">
        <v>217</v>
      </c>
      <c r="CM5" s="61">
        <f t="shared" si="22"/>
        <v>1</v>
      </c>
      <c r="CO5" s="80" t="s">
        <v>217</v>
      </c>
      <c r="CS5" s="61">
        <f t="shared" si="23"/>
        <v>1</v>
      </c>
      <c r="CU5" s="80" t="s">
        <v>217</v>
      </c>
      <c r="CV5" s="61" t="str">
        <f t="shared" si="24"/>
        <v/>
      </c>
      <c r="CW5" s="61" t="str">
        <f t="shared" si="25"/>
        <v/>
      </c>
      <c r="CX5" s="61" t="str">
        <f t="shared" si="26"/>
        <v>FA</v>
      </c>
      <c r="CY5" s="80" t="s">
        <v>217</v>
      </c>
      <c r="DG5" s="80" t="s">
        <v>217</v>
      </c>
      <c r="DH5" s="61" t="str">
        <f t="shared" si="27"/>
        <v/>
      </c>
      <c r="DJ5" s="80" t="s">
        <v>217</v>
      </c>
      <c r="DK5" s="61" t="str">
        <f t="shared" si="28"/>
        <v/>
      </c>
      <c r="DL5" s="61" t="str">
        <f t="shared" si="29"/>
        <v/>
      </c>
      <c r="DM5" s="80" t="s">
        <v>217</v>
      </c>
      <c r="DO5" s="80" t="s">
        <v>217</v>
      </c>
      <c r="DY5" s="80" t="s">
        <v>217</v>
      </c>
      <c r="EB5" s="80" t="s">
        <v>257</v>
      </c>
      <c r="ED5" s="80">
        <v>10.0</v>
      </c>
      <c r="EE5" s="80" t="s">
        <v>258</v>
      </c>
      <c r="EF5" s="112">
        <v>7120.0</v>
      </c>
      <c r="EG5" s="80" t="s">
        <v>259</v>
      </c>
      <c r="EI5" s="80" t="s">
        <v>217</v>
      </c>
    </row>
    <row r="6" ht="1.5" customHeight="1">
      <c r="A6" s="80" t="s">
        <v>1374</v>
      </c>
      <c r="B6" s="113" t="s">
        <v>1375</v>
      </c>
      <c r="C6" s="80" t="s">
        <v>245</v>
      </c>
      <c r="D6" s="80" t="s">
        <v>1376</v>
      </c>
      <c r="E6" s="73" t="s">
        <v>217</v>
      </c>
      <c r="F6" s="80" t="s">
        <v>209</v>
      </c>
      <c r="G6" s="80" t="s">
        <v>211</v>
      </c>
      <c r="H6" s="61" t="str">
        <f t="shared" si="3"/>
        <v/>
      </c>
      <c r="I6" s="61" t="str">
        <f t="shared" si="4"/>
        <v/>
      </c>
      <c r="J6" s="61" t="str">
        <f t="shared" si="5"/>
        <v/>
      </c>
      <c r="K6" s="61" t="str">
        <f t="shared" si="6"/>
        <v/>
      </c>
      <c r="L6" s="61" t="str">
        <f t="shared" si="7"/>
        <v/>
      </c>
      <c r="M6" s="61">
        <f t="shared" si="8"/>
        <v>1</v>
      </c>
      <c r="N6" s="61" t="b">
        <f t="shared" si="9"/>
        <v>1</v>
      </c>
      <c r="O6" s="61" t="b">
        <f t="shared" si="10"/>
        <v>1</v>
      </c>
      <c r="P6" s="80">
        <v>1.0</v>
      </c>
      <c r="Q6" s="80">
        <v>1.0</v>
      </c>
      <c r="R6" s="80">
        <v>1.0</v>
      </c>
      <c r="S6" s="61" t="b">
        <f t="shared" si="11"/>
        <v>1</v>
      </c>
      <c r="T6" s="80">
        <v>1.0</v>
      </c>
      <c r="U6" s="80">
        <v>1.0</v>
      </c>
      <c r="V6" s="80">
        <v>1.0</v>
      </c>
      <c r="X6" s="61" t="str">
        <f t="shared" si="30"/>
        <v>Sampath:ase04, </v>
      </c>
      <c r="Y6" s="61" t="str">
        <f t="shared" si="12"/>
        <v/>
      </c>
      <c r="Z6" s="114" t="s">
        <v>1377</v>
      </c>
      <c r="AA6" s="80" t="s">
        <v>266</v>
      </c>
      <c r="AC6" s="61">
        <f>countif('Charts-SLR'!A:A,AA6)</f>
        <v>1</v>
      </c>
      <c r="AD6" s="80" t="s">
        <v>450</v>
      </c>
      <c r="AE6" s="61">
        <f t="shared" si="13"/>
        <v>0</v>
      </c>
      <c r="AF6" s="80">
        <v>2004.0</v>
      </c>
      <c r="AG6" s="80" t="s">
        <v>250</v>
      </c>
      <c r="AH6" s="80">
        <v>47.0</v>
      </c>
      <c r="AI6" s="108">
        <f t="shared" si="14"/>
        <v>5.875</v>
      </c>
      <c r="AJ6" s="61" t="str">
        <f t="shared" si="15"/>
        <v/>
      </c>
      <c r="AK6" s="61">
        <f t="shared" si="16"/>
        <v>47</v>
      </c>
      <c r="AL6" s="61" t="str">
        <f t="shared" si="17"/>
        <v/>
      </c>
      <c r="AM6" s="61" t="str">
        <f t="shared" si="18"/>
        <v/>
      </c>
      <c r="AN6" s="61" t="str">
        <f t="shared" si="19"/>
        <v/>
      </c>
      <c r="AO6" s="61" t="str">
        <f t="shared" si="20"/>
        <v/>
      </c>
      <c r="AP6" s="80" t="s">
        <v>217</v>
      </c>
      <c r="AS6" s="80" t="s">
        <v>217</v>
      </c>
      <c r="AV6" s="61">
        <f t="shared" si="21"/>
        <v>2</v>
      </c>
      <c r="AX6" s="80" t="s">
        <v>217</v>
      </c>
      <c r="BD6" s="80" t="s">
        <v>217</v>
      </c>
      <c r="BE6" s="80" t="s">
        <v>217</v>
      </c>
      <c r="BG6" s="80" t="s">
        <v>217</v>
      </c>
      <c r="BJ6" s="80" t="s">
        <v>217</v>
      </c>
      <c r="BN6" s="80" t="s">
        <v>217</v>
      </c>
      <c r="BO6" s="218" t="str">
        <f t="shared" si="31"/>
        <v/>
      </c>
      <c r="BQ6" s="80" t="s">
        <v>217</v>
      </c>
      <c r="BR6" s="80" t="s">
        <v>217</v>
      </c>
      <c r="BX6" s="80" t="s">
        <v>217</v>
      </c>
      <c r="CJ6" s="80" t="s">
        <v>217</v>
      </c>
      <c r="CL6" s="80" t="s">
        <v>217</v>
      </c>
      <c r="CM6" s="61">
        <f t="shared" si="22"/>
        <v>2</v>
      </c>
      <c r="CN6" s="80" t="s">
        <v>217</v>
      </c>
      <c r="CS6" s="61">
        <f t="shared" si="23"/>
        <v>1</v>
      </c>
      <c r="CU6" s="80" t="s">
        <v>217</v>
      </c>
      <c r="CV6" s="61" t="str">
        <f t="shared" si="24"/>
        <v/>
      </c>
      <c r="CW6" s="61" t="str">
        <f t="shared" si="25"/>
        <v/>
      </c>
      <c r="CX6" s="61" t="str">
        <f t="shared" si="26"/>
        <v>FA</v>
      </c>
      <c r="CY6" s="80" t="s">
        <v>217</v>
      </c>
      <c r="CZ6" s="80" t="s">
        <v>217</v>
      </c>
      <c r="DB6" s="80" t="s">
        <v>217</v>
      </c>
      <c r="DE6" s="80" t="s">
        <v>1378</v>
      </c>
      <c r="DG6" s="80" t="s">
        <v>217</v>
      </c>
      <c r="DH6" s="61" t="str">
        <f t="shared" si="27"/>
        <v/>
      </c>
      <c r="DI6" s="80" t="s">
        <v>217</v>
      </c>
      <c r="DK6" s="61" t="str">
        <f t="shared" si="28"/>
        <v/>
      </c>
      <c r="DL6" s="61" t="str">
        <f t="shared" si="29"/>
        <v/>
      </c>
      <c r="DP6" s="80" t="s">
        <v>217</v>
      </c>
      <c r="DT6" s="80" t="s">
        <v>217</v>
      </c>
      <c r="ED6" s="80">
        <v>1.0</v>
      </c>
      <c r="EE6" s="80" t="s">
        <v>296</v>
      </c>
      <c r="EF6" s="112">
        <v>9748.0</v>
      </c>
      <c r="EG6" s="80" t="s">
        <v>297</v>
      </c>
      <c r="EI6" s="80" t="s">
        <v>217</v>
      </c>
      <c r="EK6" s="80" t="s">
        <v>1379</v>
      </c>
    </row>
    <row r="7" ht="1.5" customHeight="1">
      <c r="A7" s="80" t="s">
        <v>261</v>
      </c>
      <c r="B7" s="113" t="s">
        <v>262</v>
      </c>
      <c r="C7" s="80" t="s">
        <v>245</v>
      </c>
      <c r="D7" s="80" t="s">
        <v>263</v>
      </c>
      <c r="E7" s="73" t="s">
        <v>217</v>
      </c>
      <c r="F7" s="80" t="s">
        <v>209</v>
      </c>
      <c r="G7" s="80" t="s">
        <v>211</v>
      </c>
      <c r="H7" s="61" t="str">
        <f t="shared" si="3"/>
        <v/>
      </c>
      <c r="I7" s="61" t="str">
        <f t="shared" si="4"/>
        <v/>
      </c>
      <c r="J7" s="61" t="str">
        <f t="shared" si="5"/>
        <v/>
      </c>
      <c r="K7" s="61" t="str">
        <f t="shared" si="6"/>
        <v/>
      </c>
      <c r="L7" s="61" t="str">
        <f t="shared" si="7"/>
        <v/>
      </c>
      <c r="M7" s="61">
        <f t="shared" si="8"/>
        <v>1</v>
      </c>
      <c r="N7" s="61" t="b">
        <f t="shared" si="9"/>
        <v>1</v>
      </c>
      <c r="O7" s="61" t="b">
        <f t="shared" si="10"/>
        <v>1</v>
      </c>
      <c r="P7" s="80">
        <v>1.0</v>
      </c>
      <c r="Q7" s="80">
        <v>1.0</v>
      </c>
      <c r="R7" s="80">
        <v>1.0</v>
      </c>
      <c r="S7" s="61" t="b">
        <f t="shared" si="11"/>
        <v>1</v>
      </c>
      <c r="T7" s="80">
        <v>1.0</v>
      </c>
      <c r="U7" s="80">
        <v>1.0</v>
      </c>
      <c r="V7" s="80">
        <v>1.0</v>
      </c>
      <c r="W7" s="80" t="s">
        <v>264</v>
      </c>
      <c r="X7" s="61" t="str">
        <f t="shared" si="30"/>
        <v>Sprenkle:icst11, </v>
      </c>
      <c r="Y7" s="61" t="str">
        <f t="shared" si="12"/>
        <v/>
      </c>
      <c r="Z7" s="80" t="s">
        <v>265</v>
      </c>
      <c r="AA7" s="80" t="s">
        <v>266</v>
      </c>
      <c r="AC7" s="61">
        <f>countif('Charts-SLR'!A:A,AA7)</f>
        <v>1</v>
      </c>
      <c r="AD7" s="80" t="s">
        <v>267</v>
      </c>
      <c r="AE7" s="61">
        <f t="shared" si="13"/>
        <v>0</v>
      </c>
      <c r="AF7" s="80">
        <v>2011.0</v>
      </c>
      <c r="AG7" s="80" t="s">
        <v>250</v>
      </c>
      <c r="AH7" s="80">
        <v>1.0</v>
      </c>
      <c r="AI7" s="108">
        <f t="shared" si="14"/>
        <v>1</v>
      </c>
      <c r="AJ7" s="61" t="str">
        <f t="shared" si="15"/>
        <v/>
      </c>
      <c r="AK7" s="61">
        <f t="shared" si="16"/>
        <v>1</v>
      </c>
      <c r="AL7" s="61" t="str">
        <f t="shared" si="17"/>
        <v/>
      </c>
      <c r="AM7" s="61" t="str">
        <f t="shared" si="18"/>
        <v/>
      </c>
      <c r="AN7" s="61" t="str">
        <f t="shared" si="19"/>
        <v/>
      </c>
      <c r="AO7" s="61" t="str">
        <f t="shared" si="20"/>
        <v>Sprenkle:icst11, </v>
      </c>
      <c r="AU7" s="80" t="s">
        <v>217</v>
      </c>
      <c r="AV7" s="61">
        <f t="shared" si="21"/>
        <v>1</v>
      </c>
      <c r="AY7" s="80" t="s">
        <v>217</v>
      </c>
      <c r="BD7" s="80" t="s">
        <v>217</v>
      </c>
      <c r="BG7" s="80" t="s">
        <v>217</v>
      </c>
      <c r="BN7" s="80" t="s">
        <v>217</v>
      </c>
      <c r="BO7" s="218" t="str">
        <f t="shared" si="31"/>
        <v/>
      </c>
      <c r="BS7" s="80" t="s">
        <v>217</v>
      </c>
      <c r="BX7" s="80" t="s">
        <v>217</v>
      </c>
      <c r="CK7" s="80" t="s">
        <v>217</v>
      </c>
      <c r="CM7" s="61">
        <f t="shared" si="22"/>
        <v>1</v>
      </c>
      <c r="CN7" s="80" t="s">
        <v>217</v>
      </c>
      <c r="CS7" s="61">
        <f t="shared" si="23"/>
        <v>1</v>
      </c>
      <c r="CU7" s="80" t="s">
        <v>217</v>
      </c>
      <c r="CV7" s="61" t="str">
        <f t="shared" si="24"/>
        <v/>
      </c>
      <c r="CW7" s="61" t="str">
        <f t="shared" si="25"/>
        <v/>
      </c>
      <c r="CX7" s="61" t="str">
        <f t="shared" si="26"/>
        <v>FA</v>
      </c>
      <c r="CY7" s="80" t="s">
        <v>217</v>
      </c>
      <c r="DG7" s="80" t="s">
        <v>217</v>
      </c>
      <c r="DH7" s="61" t="str">
        <f t="shared" si="27"/>
        <v/>
      </c>
      <c r="DI7" s="80" t="s">
        <v>217</v>
      </c>
      <c r="DK7" s="61" t="str">
        <f t="shared" si="28"/>
        <v/>
      </c>
      <c r="DL7" s="61" t="str">
        <f t="shared" si="29"/>
        <v/>
      </c>
      <c r="DP7" s="80" t="s">
        <v>217</v>
      </c>
      <c r="DT7" s="80" t="s">
        <v>217</v>
      </c>
      <c r="ED7" s="80">
        <v>5.0</v>
      </c>
      <c r="EE7" s="80" t="s">
        <v>275</v>
      </c>
      <c r="EF7" s="112">
        <v>54876.0</v>
      </c>
      <c r="EG7" s="80" t="s">
        <v>276</v>
      </c>
      <c r="EH7" s="80" t="s">
        <v>217</v>
      </c>
      <c r="EI7" s="80" t="s">
        <v>217</v>
      </c>
    </row>
    <row r="8" ht="1.5" customHeight="1">
      <c r="A8" s="114" t="s">
        <v>278</v>
      </c>
      <c r="B8" s="113" t="s">
        <v>279</v>
      </c>
      <c r="C8" s="80" t="s">
        <v>209</v>
      </c>
      <c r="D8" s="80" t="s">
        <v>280</v>
      </c>
      <c r="E8" s="73" t="s">
        <v>217</v>
      </c>
      <c r="F8" s="80" t="s">
        <v>210</v>
      </c>
      <c r="G8" s="80" t="s">
        <v>211</v>
      </c>
      <c r="H8" s="61">
        <f t="shared" si="3"/>
        <v>1</v>
      </c>
      <c r="I8" s="61" t="str">
        <f t="shared" si="4"/>
        <v/>
      </c>
      <c r="J8" s="61" t="str">
        <f t="shared" si="5"/>
        <v/>
      </c>
      <c r="K8" s="61" t="str">
        <f t="shared" si="6"/>
        <v/>
      </c>
      <c r="L8" s="61" t="str">
        <f t="shared" si="7"/>
        <v/>
      </c>
      <c r="M8" s="61" t="str">
        <f t="shared" si="8"/>
        <v/>
      </c>
      <c r="N8" s="61" t="b">
        <f t="shared" si="9"/>
        <v>1</v>
      </c>
      <c r="O8" s="61" t="b">
        <f t="shared" si="10"/>
        <v>1</v>
      </c>
      <c r="P8" s="80">
        <v>1.0</v>
      </c>
      <c r="Q8" s="80">
        <v>1.0</v>
      </c>
      <c r="R8" s="80">
        <v>1.0</v>
      </c>
      <c r="S8" s="61" t="b">
        <f t="shared" si="11"/>
        <v>1</v>
      </c>
      <c r="T8" s="80">
        <v>1.0</v>
      </c>
      <c r="U8" s="80">
        <v>0.0</v>
      </c>
      <c r="V8" s="80">
        <v>1.0</v>
      </c>
      <c r="W8" s="115" t="s">
        <v>281</v>
      </c>
      <c r="X8" s="61" t="str">
        <f t="shared" si="30"/>
        <v/>
      </c>
      <c r="Y8" s="61" t="str">
        <f t="shared" si="12"/>
        <v>Saxena:sp10, </v>
      </c>
      <c r="Z8" s="80" t="s">
        <v>282</v>
      </c>
      <c r="AA8" s="80" t="s">
        <v>266</v>
      </c>
      <c r="AC8" s="61">
        <f>countif('Charts-SLR'!A:A,AA8)</f>
        <v>1</v>
      </c>
      <c r="AD8" s="80" t="s">
        <v>283</v>
      </c>
      <c r="AE8" s="61">
        <f t="shared" si="13"/>
        <v>0</v>
      </c>
      <c r="AF8" s="80">
        <v>2010.0</v>
      </c>
      <c r="AG8" s="80" t="s">
        <v>268</v>
      </c>
      <c r="AH8" s="80">
        <v>45.0</v>
      </c>
      <c r="AI8" s="108">
        <f t="shared" si="14"/>
        <v>22.5</v>
      </c>
      <c r="AJ8" s="61" t="str">
        <f t="shared" si="15"/>
        <v/>
      </c>
      <c r="AK8" s="61" t="str">
        <f t="shared" si="16"/>
        <v/>
      </c>
      <c r="AL8" s="61" t="str">
        <f t="shared" si="17"/>
        <v/>
      </c>
      <c r="AM8" s="61" t="str">
        <f t="shared" si="18"/>
        <v/>
      </c>
      <c r="AN8" s="61">
        <f t="shared" si="19"/>
        <v>45</v>
      </c>
      <c r="AO8" s="61" t="str">
        <f t="shared" si="20"/>
        <v/>
      </c>
      <c r="AP8" s="80" t="s">
        <v>217</v>
      </c>
      <c r="AQ8" s="80" t="s">
        <v>217</v>
      </c>
      <c r="AV8" s="61">
        <f t="shared" si="21"/>
        <v>2</v>
      </c>
      <c r="AW8" s="80" t="s">
        <v>217</v>
      </c>
      <c r="BE8" s="80" t="s">
        <v>217</v>
      </c>
      <c r="BF8" s="80" t="s">
        <v>217</v>
      </c>
      <c r="BM8" s="80" t="s">
        <v>217</v>
      </c>
      <c r="BO8" s="218" t="str">
        <f t="shared" si="31"/>
        <v/>
      </c>
      <c r="BT8" s="80" t="s">
        <v>217</v>
      </c>
      <c r="CC8" s="80" t="s">
        <v>217</v>
      </c>
      <c r="CM8" s="61">
        <f t="shared" si="22"/>
        <v>1</v>
      </c>
      <c r="CS8" s="61">
        <f t="shared" si="23"/>
        <v>0</v>
      </c>
      <c r="CU8" s="80" t="s">
        <v>217</v>
      </c>
      <c r="CV8" s="61" t="str">
        <f t="shared" si="24"/>
        <v/>
      </c>
      <c r="CW8" s="61" t="str">
        <f t="shared" si="25"/>
        <v/>
      </c>
      <c r="CX8" s="61" t="str">
        <f t="shared" si="26"/>
        <v>FA</v>
      </c>
      <c r="CY8" s="80" t="s">
        <v>217</v>
      </c>
      <c r="DG8" s="80" t="s">
        <v>217</v>
      </c>
      <c r="DH8" s="61" t="str">
        <f t="shared" si="27"/>
        <v/>
      </c>
      <c r="DI8" s="80" t="s">
        <v>217</v>
      </c>
      <c r="DK8" s="61" t="str">
        <f t="shared" si="28"/>
        <v/>
      </c>
      <c r="DL8" s="61" t="str">
        <f t="shared" si="29"/>
        <v/>
      </c>
      <c r="DO8" s="80" t="s">
        <v>217</v>
      </c>
      <c r="DY8" s="80" t="s">
        <v>217</v>
      </c>
      <c r="EB8" s="80" t="s">
        <v>289</v>
      </c>
      <c r="ED8" s="80">
        <v>18.0</v>
      </c>
      <c r="EE8" s="80" t="s">
        <v>290</v>
      </c>
      <c r="EF8" s="116"/>
      <c r="EI8" s="80" t="s">
        <v>217</v>
      </c>
      <c r="EJ8" s="80" t="s">
        <v>217</v>
      </c>
    </row>
    <row r="9" ht="1.5" customHeight="1">
      <c r="A9" s="80" t="s">
        <v>292</v>
      </c>
      <c r="B9" s="113" t="s">
        <v>293</v>
      </c>
      <c r="C9" s="80" t="s">
        <v>209</v>
      </c>
      <c r="D9" s="80" t="s">
        <v>294</v>
      </c>
      <c r="E9" s="73" t="s">
        <v>217</v>
      </c>
      <c r="F9" s="80" t="s">
        <v>210</v>
      </c>
      <c r="G9" s="80" t="s">
        <v>227</v>
      </c>
      <c r="H9" s="61">
        <f t="shared" si="3"/>
        <v>1</v>
      </c>
      <c r="I9" s="61" t="str">
        <f t="shared" si="4"/>
        <v/>
      </c>
      <c r="J9" s="61" t="str">
        <f t="shared" si="5"/>
        <v/>
      </c>
      <c r="K9" s="61" t="str">
        <f t="shared" si="6"/>
        <v/>
      </c>
      <c r="L9" s="61" t="str">
        <f t="shared" si="7"/>
        <v/>
      </c>
      <c r="M9" s="61" t="str">
        <f t="shared" si="8"/>
        <v/>
      </c>
      <c r="N9" s="61" t="b">
        <f t="shared" si="9"/>
        <v>1</v>
      </c>
      <c r="O9" s="61" t="b">
        <f t="shared" si="10"/>
        <v>1</v>
      </c>
      <c r="P9" s="80">
        <v>1.0</v>
      </c>
      <c r="Q9" s="80">
        <v>1.0</v>
      </c>
      <c r="R9" s="80">
        <v>1.0</v>
      </c>
      <c r="S9" s="61" t="b">
        <f t="shared" si="11"/>
        <v>1</v>
      </c>
      <c r="T9" s="80">
        <v>1.0</v>
      </c>
      <c r="U9" s="80">
        <v>1.0</v>
      </c>
      <c r="V9" s="80">
        <v>1.0</v>
      </c>
      <c r="X9" s="61" t="str">
        <f t="shared" si="30"/>
        <v/>
      </c>
      <c r="Y9" s="61" t="str">
        <f t="shared" si="12"/>
        <v/>
      </c>
      <c r="Z9" s="80" t="s">
        <v>295</v>
      </c>
      <c r="AA9" s="80" t="s">
        <v>214</v>
      </c>
      <c r="AC9" s="61">
        <f>countif('Charts-SLR'!A:A,AA9)</f>
        <v>1</v>
      </c>
      <c r="AD9" s="80" t="s">
        <v>215</v>
      </c>
      <c r="AE9" s="61">
        <f t="shared" si="13"/>
        <v>0</v>
      </c>
      <c r="AF9" s="80">
        <v>2006.0</v>
      </c>
      <c r="AG9" s="80" t="s">
        <v>216</v>
      </c>
      <c r="AH9" s="80">
        <v>6.0</v>
      </c>
      <c r="AI9" s="108">
        <f t="shared" si="14"/>
        <v>1</v>
      </c>
      <c r="AJ9" s="61" t="str">
        <f t="shared" si="15"/>
        <v/>
      </c>
      <c r="AK9" s="61" t="str">
        <f t="shared" si="16"/>
        <v/>
      </c>
      <c r="AL9" s="61">
        <f t="shared" si="17"/>
        <v>6</v>
      </c>
      <c r="AM9" s="61" t="str">
        <f t="shared" si="18"/>
        <v/>
      </c>
      <c r="AN9" s="61" t="str">
        <f t="shared" si="19"/>
        <v/>
      </c>
      <c r="AO9" s="61" t="str">
        <f t="shared" si="20"/>
        <v/>
      </c>
      <c r="AR9" s="80" t="s">
        <v>217</v>
      </c>
      <c r="AS9" s="80" t="s">
        <v>217</v>
      </c>
      <c r="AV9" s="61">
        <f t="shared" si="21"/>
        <v>2</v>
      </c>
      <c r="AW9" s="80" t="s">
        <v>217</v>
      </c>
      <c r="BD9" s="80" t="s">
        <v>217</v>
      </c>
      <c r="BG9" s="80" t="s">
        <v>217</v>
      </c>
      <c r="BI9" s="80" t="s">
        <v>217</v>
      </c>
      <c r="BL9" s="80" t="s">
        <v>217</v>
      </c>
      <c r="BN9" s="80" t="s">
        <v>217</v>
      </c>
      <c r="BO9" s="218" t="str">
        <f t="shared" si="31"/>
        <v/>
      </c>
      <c r="BS9" s="80" t="s">
        <v>217</v>
      </c>
      <c r="BX9" s="80" t="s">
        <v>217</v>
      </c>
      <c r="CL9" s="80" t="s">
        <v>217</v>
      </c>
      <c r="CM9" s="61">
        <f t="shared" si="22"/>
        <v>1</v>
      </c>
      <c r="CN9" s="80" t="s">
        <v>217</v>
      </c>
      <c r="CS9" s="61">
        <f t="shared" si="23"/>
        <v>1</v>
      </c>
      <c r="CU9" s="80" t="s">
        <v>217</v>
      </c>
      <c r="CV9" s="61" t="str">
        <f t="shared" si="24"/>
        <v/>
      </c>
      <c r="CW9" s="61" t="str">
        <f t="shared" si="25"/>
        <v/>
      </c>
      <c r="CX9" s="61" t="str">
        <f t="shared" si="26"/>
        <v>FA</v>
      </c>
      <c r="CY9" s="80" t="s">
        <v>217</v>
      </c>
      <c r="DG9" s="80" t="s">
        <v>217</v>
      </c>
      <c r="DH9" s="61" t="str">
        <f t="shared" si="27"/>
        <v/>
      </c>
      <c r="DI9" s="80" t="s">
        <v>217</v>
      </c>
      <c r="DK9" s="61" t="str">
        <f t="shared" si="28"/>
        <v/>
      </c>
      <c r="DL9" s="61" t="str">
        <f t="shared" si="29"/>
        <v/>
      </c>
      <c r="DP9" s="80" t="s">
        <v>217</v>
      </c>
      <c r="DS9" s="80" t="s">
        <v>217</v>
      </c>
      <c r="ED9" s="80">
        <v>1.0</v>
      </c>
      <c r="EE9" s="80" t="s">
        <v>296</v>
      </c>
      <c r="EF9" s="112">
        <v>9748.0</v>
      </c>
      <c r="EG9" s="80" t="s">
        <v>297</v>
      </c>
      <c r="EI9" s="80" t="s">
        <v>217</v>
      </c>
    </row>
    <row r="10" ht="1.5" customHeight="1">
      <c r="A10" s="80" t="s">
        <v>308</v>
      </c>
      <c r="B10" s="113" t="s">
        <v>309</v>
      </c>
      <c r="C10" s="80" t="s">
        <v>210</v>
      </c>
      <c r="D10" s="80" t="s">
        <v>310</v>
      </c>
      <c r="E10" s="73" t="s">
        <v>217</v>
      </c>
      <c r="F10" s="80" t="s">
        <v>245</v>
      </c>
      <c r="G10" s="80" t="s">
        <v>211</v>
      </c>
      <c r="H10" s="61" t="str">
        <f t="shared" si="3"/>
        <v/>
      </c>
      <c r="I10" s="61" t="str">
        <f t="shared" si="4"/>
        <v/>
      </c>
      <c r="J10" s="61" t="str">
        <f t="shared" si="5"/>
        <v/>
      </c>
      <c r="K10" s="61">
        <f t="shared" si="6"/>
        <v>1</v>
      </c>
      <c r="L10" s="61" t="str">
        <f t="shared" si="7"/>
        <v/>
      </c>
      <c r="M10" s="61" t="str">
        <f t="shared" si="8"/>
        <v/>
      </c>
      <c r="N10" s="61" t="b">
        <f t="shared" si="9"/>
        <v>1</v>
      </c>
      <c r="O10" s="61" t="b">
        <f t="shared" si="10"/>
        <v>1</v>
      </c>
      <c r="P10" s="80">
        <v>1.0</v>
      </c>
      <c r="Q10" s="80">
        <v>1.0</v>
      </c>
      <c r="R10" s="80">
        <v>1.0</v>
      </c>
      <c r="S10" s="61" t="b">
        <f t="shared" si="11"/>
        <v>1</v>
      </c>
      <c r="T10" s="80">
        <v>1.0</v>
      </c>
      <c r="U10" s="80">
        <v>1.0</v>
      </c>
      <c r="V10" s="80">
        <v>1.0</v>
      </c>
      <c r="X10" s="61" t="str">
        <f t="shared" si="30"/>
        <v/>
      </c>
      <c r="Y10" s="61" t="str">
        <f t="shared" si="12"/>
        <v/>
      </c>
      <c r="Z10" s="114" t="s">
        <v>311</v>
      </c>
      <c r="AA10" s="80" t="s">
        <v>266</v>
      </c>
      <c r="AC10" s="61">
        <f>countif('Charts-SLR'!A:A,AA10)</f>
        <v>1</v>
      </c>
      <c r="AD10" s="80" t="s">
        <v>312</v>
      </c>
      <c r="AE10" s="61">
        <f t="shared" si="13"/>
        <v>0</v>
      </c>
      <c r="AF10" s="80">
        <v>2006.0</v>
      </c>
      <c r="AG10" s="80" t="s">
        <v>268</v>
      </c>
      <c r="AH10" s="80">
        <v>14.0</v>
      </c>
      <c r="AI10" s="108">
        <f t="shared" si="14"/>
        <v>2.333333333</v>
      </c>
      <c r="AJ10" s="61" t="str">
        <f t="shared" si="15"/>
        <v/>
      </c>
      <c r="AK10" s="61" t="str">
        <f t="shared" si="16"/>
        <v/>
      </c>
      <c r="AL10" s="61" t="str">
        <f t="shared" si="17"/>
        <v/>
      </c>
      <c r="AM10" s="61" t="str">
        <f t="shared" si="18"/>
        <v/>
      </c>
      <c r="AN10" s="61">
        <f t="shared" si="19"/>
        <v>14</v>
      </c>
      <c r="AO10" s="61" t="str">
        <f t="shared" si="20"/>
        <v/>
      </c>
      <c r="AP10" s="80" t="s">
        <v>217</v>
      </c>
      <c r="AQ10" s="80" t="s">
        <v>217</v>
      </c>
      <c r="AV10" s="61">
        <f t="shared" si="21"/>
        <v>2</v>
      </c>
      <c r="AW10" s="80" t="s">
        <v>217</v>
      </c>
      <c r="BD10" s="80" t="s">
        <v>217</v>
      </c>
      <c r="BG10" s="80" t="s">
        <v>217</v>
      </c>
      <c r="BI10" s="80" t="s">
        <v>217</v>
      </c>
      <c r="BO10" s="216" t="s">
        <v>217</v>
      </c>
      <c r="BQ10" s="80" t="s">
        <v>217</v>
      </c>
      <c r="BR10" s="80" t="s">
        <v>217</v>
      </c>
      <c r="BT10" s="80" t="s">
        <v>217</v>
      </c>
      <c r="CE10" s="80" t="s">
        <v>217</v>
      </c>
      <c r="CL10" s="80" t="s">
        <v>217</v>
      </c>
      <c r="CM10" s="61">
        <f t="shared" si="22"/>
        <v>2</v>
      </c>
      <c r="CO10" s="80" t="s">
        <v>217</v>
      </c>
      <c r="CS10" s="61">
        <f t="shared" si="23"/>
        <v>1</v>
      </c>
      <c r="CU10" s="80" t="s">
        <v>217</v>
      </c>
      <c r="CV10" s="61" t="str">
        <f t="shared" si="24"/>
        <v/>
      </c>
      <c r="CW10" s="61" t="str">
        <f t="shared" si="25"/>
        <v/>
      </c>
      <c r="CX10" s="61" t="str">
        <f t="shared" si="26"/>
        <v>FA</v>
      </c>
      <c r="CY10" s="80" t="s">
        <v>217</v>
      </c>
      <c r="DG10" s="80" t="s">
        <v>217</v>
      </c>
      <c r="DH10" s="61" t="str">
        <f t="shared" si="27"/>
        <v/>
      </c>
      <c r="DI10" s="80" t="s">
        <v>217</v>
      </c>
      <c r="DK10" s="61" t="str">
        <f t="shared" si="28"/>
        <v/>
      </c>
      <c r="DL10" s="61" t="str">
        <f t="shared" si="29"/>
        <v/>
      </c>
      <c r="DO10" s="80" t="s">
        <v>217</v>
      </c>
      <c r="DT10" s="80" t="s">
        <v>217</v>
      </c>
      <c r="EB10" s="80" t="s">
        <v>313</v>
      </c>
      <c r="EG10" s="116"/>
      <c r="EH10" s="80" t="s">
        <v>217</v>
      </c>
    </row>
    <row r="11" ht="1.5" customHeight="1">
      <c r="A11" s="80" t="s">
        <v>330</v>
      </c>
      <c r="B11" s="113" t="s">
        <v>331</v>
      </c>
      <c r="C11" s="80" t="s">
        <v>210</v>
      </c>
      <c r="D11" s="80" t="s">
        <v>332</v>
      </c>
      <c r="E11" s="125" t="s">
        <v>217</v>
      </c>
      <c r="F11" s="80" t="s">
        <v>245</v>
      </c>
      <c r="G11" s="80" t="s">
        <v>211</v>
      </c>
      <c r="H11" s="61" t="str">
        <f t="shared" si="3"/>
        <v/>
      </c>
      <c r="I11" s="61" t="str">
        <f t="shared" si="4"/>
        <v/>
      </c>
      <c r="J11" s="61" t="str">
        <f t="shared" si="5"/>
        <v/>
      </c>
      <c r="K11" s="61">
        <f t="shared" si="6"/>
        <v>1</v>
      </c>
      <c r="L11" s="61" t="str">
        <f t="shared" si="7"/>
        <v/>
      </c>
      <c r="M11" s="61" t="str">
        <f t="shared" si="8"/>
        <v/>
      </c>
      <c r="N11" s="61" t="b">
        <f t="shared" si="9"/>
        <v>1</v>
      </c>
      <c r="O11" s="61" t="b">
        <f t="shared" si="10"/>
        <v>1</v>
      </c>
      <c r="P11" s="80">
        <v>1.0</v>
      </c>
      <c r="Q11" s="80">
        <v>1.0</v>
      </c>
      <c r="R11" s="80">
        <v>1.0</v>
      </c>
      <c r="S11" s="61" t="b">
        <f t="shared" si="11"/>
        <v>1</v>
      </c>
      <c r="T11" s="80">
        <v>1.0</v>
      </c>
      <c r="U11" s="80">
        <v>1.0</v>
      </c>
      <c r="V11" s="80">
        <v>1.0</v>
      </c>
      <c r="X11" s="61" t="str">
        <f t="shared" si="30"/>
        <v>Sprenkle:icsm05, </v>
      </c>
      <c r="Y11" s="61" t="str">
        <f t="shared" si="12"/>
        <v/>
      </c>
      <c r="Z11" s="114" t="s">
        <v>333</v>
      </c>
      <c r="AA11" s="80" t="s">
        <v>266</v>
      </c>
      <c r="AC11" s="61">
        <f>countif('Charts-SLR'!A:A,AA11)</f>
        <v>1</v>
      </c>
      <c r="AD11" s="80" t="s">
        <v>334</v>
      </c>
      <c r="AE11" s="61">
        <f t="shared" si="13"/>
        <v>0</v>
      </c>
      <c r="AF11" s="80">
        <v>2005.0</v>
      </c>
      <c r="AG11" s="80" t="s">
        <v>250</v>
      </c>
      <c r="AH11" s="80">
        <v>38.0</v>
      </c>
      <c r="AI11" s="108">
        <f t="shared" si="14"/>
        <v>5.428571429</v>
      </c>
      <c r="AJ11" s="61" t="str">
        <f t="shared" si="15"/>
        <v/>
      </c>
      <c r="AK11" s="61">
        <f t="shared" si="16"/>
        <v>38</v>
      </c>
      <c r="AL11" s="61" t="str">
        <f t="shared" si="17"/>
        <v/>
      </c>
      <c r="AM11" s="61" t="str">
        <f t="shared" si="18"/>
        <v/>
      </c>
      <c r="AN11" s="61" t="str">
        <f t="shared" si="19"/>
        <v/>
      </c>
      <c r="AO11" s="61" t="str">
        <f t="shared" si="20"/>
        <v>Sprenkle:icsm05, </v>
      </c>
      <c r="AU11" s="80" t="s">
        <v>217</v>
      </c>
      <c r="AV11" s="61">
        <f t="shared" si="21"/>
        <v>1</v>
      </c>
      <c r="AY11" s="80" t="s">
        <v>217</v>
      </c>
      <c r="BD11" s="80" t="s">
        <v>217</v>
      </c>
      <c r="BL11" s="80" t="s">
        <v>217</v>
      </c>
      <c r="BN11" s="80" t="s">
        <v>217</v>
      </c>
      <c r="BO11" s="218" t="str">
        <f t="shared" ref="BO11:BO13" si="32">if(and(BM11="x",BN11="x"), "x", "")</f>
        <v/>
      </c>
      <c r="BS11" s="80" t="s">
        <v>217</v>
      </c>
      <c r="BV11" s="80" t="s">
        <v>217</v>
      </c>
      <c r="BX11" s="80" t="s">
        <v>217</v>
      </c>
      <c r="CB11" s="80" t="s">
        <v>217</v>
      </c>
      <c r="CK11" s="80" t="s">
        <v>217</v>
      </c>
      <c r="CL11" s="80" t="s">
        <v>217</v>
      </c>
      <c r="CM11" s="61">
        <f t="shared" si="22"/>
        <v>3</v>
      </c>
      <c r="CN11" s="80" t="s">
        <v>217</v>
      </c>
      <c r="CS11" s="61">
        <f t="shared" si="23"/>
        <v>1</v>
      </c>
      <c r="CU11" s="80" t="s">
        <v>217</v>
      </c>
      <c r="CV11" s="61" t="str">
        <f t="shared" si="24"/>
        <v/>
      </c>
      <c r="CW11" s="61" t="str">
        <f t="shared" si="25"/>
        <v/>
      </c>
      <c r="CX11" s="61" t="str">
        <f t="shared" si="26"/>
        <v>FA</v>
      </c>
      <c r="CY11" s="80" t="s">
        <v>217</v>
      </c>
      <c r="CZ11" s="80" t="s">
        <v>217</v>
      </c>
      <c r="DG11" s="80" t="s">
        <v>217</v>
      </c>
      <c r="DH11" s="61" t="str">
        <f t="shared" si="27"/>
        <v/>
      </c>
      <c r="DI11" s="80" t="s">
        <v>217</v>
      </c>
      <c r="DK11" s="61" t="str">
        <f t="shared" si="28"/>
        <v/>
      </c>
      <c r="DL11" s="61" t="str">
        <f t="shared" si="29"/>
        <v/>
      </c>
      <c r="DP11" s="80" t="s">
        <v>217</v>
      </c>
      <c r="DS11" s="80" t="s">
        <v>217</v>
      </c>
      <c r="DT11" s="80" t="s">
        <v>217</v>
      </c>
      <c r="ED11" s="80">
        <v>2.0</v>
      </c>
      <c r="EE11" s="80" t="s">
        <v>343</v>
      </c>
      <c r="EF11" s="112">
        <v>17091.0</v>
      </c>
      <c r="EI11" s="80" t="s">
        <v>217</v>
      </c>
      <c r="EJ11" s="80" t="s">
        <v>217</v>
      </c>
    </row>
    <row r="12" ht="1.5" customHeight="1">
      <c r="A12" s="80" t="s">
        <v>345</v>
      </c>
      <c r="B12" s="113" t="s">
        <v>346</v>
      </c>
      <c r="C12" s="80" t="s">
        <v>245</v>
      </c>
      <c r="D12" s="80" t="s">
        <v>347</v>
      </c>
      <c r="E12" s="73" t="s">
        <v>217</v>
      </c>
      <c r="F12" s="80" t="s">
        <v>209</v>
      </c>
      <c r="G12" s="80" t="s">
        <v>211</v>
      </c>
      <c r="H12" s="61" t="str">
        <f t="shared" si="3"/>
        <v/>
      </c>
      <c r="I12" s="61" t="str">
        <f t="shared" si="4"/>
        <v/>
      </c>
      <c r="J12" s="61" t="str">
        <f t="shared" si="5"/>
        <v/>
      </c>
      <c r="K12" s="61" t="str">
        <f t="shared" si="6"/>
        <v/>
      </c>
      <c r="L12" s="61" t="str">
        <f t="shared" si="7"/>
        <v/>
      </c>
      <c r="M12" s="61">
        <f t="shared" si="8"/>
        <v>1</v>
      </c>
      <c r="N12" s="61" t="b">
        <f t="shared" si="9"/>
        <v>1</v>
      </c>
      <c r="O12" s="61" t="b">
        <f t="shared" si="10"/>
        <v>1</v>
      </c>
      <c r="P12" s="80">
        <v>1.0</v>
      </c>
      <c r="Q12" s="80">
        <v>1.0</v>
      </c>
      <c r="R12" s="80">
        <v>1.0</v>
      </c>
      <c r="S12" s="61" t="b">
        <f t="shared" si="11"/>
        <v>1</v>
      </c>
      <c r="T12" s="80">
        <v>1.0</v>
      </c>
      <c r="U12" s="80">
        <v>1.0</v>
      </c>
      <c r="V12" s="80">
        <v>1.0</v>
      </c>
      <c r="X12" s="61" t="str">
        <f t="shared" si="30"/>
        <v/>
      </c>
      <c r="Y12" s="61" t="str">
        <f t="shared" si="12"/>
        <v>Ricca:icse01, </v>
      </c>
      <c r="Z12" s="114" t="s">
        <v>348</v>
      </c>
      <c r="AA12" s="80" t="s">
        <v>214</v>
      </c>
      <c r="AC12" s="61">
        <f>countif('Charts-SLR'!A:A,AA12)</f>
        <v>1</v>
      </c>
      <c r="AD12" s="80" t="s">
        <v>249</v>
      </c>
      <c r="AE12" s="61">
        <f t="shared" si="13"/>
        <v>0</v>
      </c>
      <c r="AF12" s="80">
        <v>2001.0</v>
      </c>
      <c r="AG12" s="80" t="s">
        <v>250</v>
      </c>
      <c r="AH12" s="80">
        <v>361.0</v>
      </c>
      <c r="AI12" s="108">
        <f t="shared" si="14"/>
        <v>32.81818182</v>
      </c>
      <c r="AJ12" s="61" t="str">
        <f t="shared" si="15"/>
        <v/>
      </c>
      <c r="AK12" s="61">
        <f t="shared" si="16"/>
        <v>361</v>
      </c>
      <c r="AL12" s="61" t="str">
        <f t="shared" si="17"/>
        <v/>
      </c>
      <c r="AM12" s="61" t="str">
        <f t="shared" si="18"/>
        <v/>
      </c>
      <c r="AN12" s="61" t="str">
        <f t="shared" si="19"/>
        <v/>
      </c>
      <c r="AO12" s="61" t="str">
        <f t="shared" si="20"/>
        <v/>
      </c>
      <c r="AQ12" s="80" t="s">
        <v>217</v>
      </c>
      <c r="AR12" s="80" t="s">
        <v>217</v>
      </c>
      <c r="AV12" s="61">
        <f t="shared" si="21"/>
        <v>2</v>
      </c>
      <c r="AX12" s="80" t="s">
        <v>217</v>
      </c>
      <c r="BD12" s="80" t="s">
        <v>217</v>
      </c>
      <c r="BF12" s="80" t="s">
        <v>217</v>
      </c>
      <c r="BG12" s="80" t="s">
        <v>217</v>
      </c>
      <c r="BJ12" s="80" t="s">
        <v>217</v>
      </c>
      <c r="BM12" s="80" t="s">
        <v>217</v>
      </c>
      <c r="BO12" s="218" t="str">
        <f t="shared" si="32"/>
        <v/>
      </c>
      <c r="BP12" s="61">
        <f t="shared" ref="BP12:BP81" si="33">if(BM12="x", 1, if(BN12="x", 2, 3))</f>
        <v>1</v>
      </c>
      <c r="BQ12" s="80" t="s">
        <v>217</v>
      </c>
      <c r="BR12" s="80" t="s">
        <v>217</v>
      </c>
      <c r="BT12" s="80" t="s">
        <v>217</v>
      </c>
      <c r="BV12" s="80" t="s">
        <v>217</v>
      </c>
      <c r="CD12" s="80" t="s">
        <v>217</v>
      </c>
      <c r="CH12" s="80" t="s">
        <v>217</v>
      </c>
      <c r="CL12" s="80" t="s">
        <v>217</v>
      </c>
      <c r="CM12" s="61">
        <f t="shared" si="22"/>
        <v>3</v>
      </c>
      <c r="CN12" s="80" t="s">
        <v>217</v>
      </c>
      <c r="CO12" s="80" t="s">
        <v>217</v>
      </c>
      <c r="CS12" s="61">
        <f t="shared" si="23"/>
        <v>2</v>
      </c>
      <c r="CU12" s="80" t="s">
        <v>217</v>
      </c>
      <c r="CV12" s="61" t="str">
        <f t="shared" si="24"/>
        <v/>
      </c>
      <c r="CW12" s="61" t="str">
        <f t="shared" si="25"/>
        <v/>
      </c>
      <c r="CX12" s="61" t="str">
        <f t="shared" si="26"/>
        <v>FA</v>
      </c>
      <c r="CY12" s="80" t="s">
        <v>217</v>
      </c>
      <c r="DA12" s="80" t="s">
        <v>217</v>
      </c>
      <c r="DG12" s="80" t="s">
        <v>217</v>
      </c>
      <c r="DH12" s="61" t="str">
        <f t="shared" si="27"/>
        <v/>
      </c>
      <c r="DI12" s="80" t="s">
        <v>217</v>
      </c>
      <c r="DK12" s="61" t="str">
        <f t="shared" si="28"/>
        <v/>
      </c>
      <c r="DL12" s="61" t="str">
        <f t="shared" si="29"/>
        <v/>
      </c>
      <c r="DM12" s="80" t="s">
        <v>217</v>
      </c>
      <c r="DY12" s="80" t="s">
        <v>217</v>
      </c>
      <c r="EB12" s="80" t="s">
        <v>353</v>
      </c>
      <c r="ED12" s="80">
        <v>2.0</v>
      </c>
      <c r="EE12" s="80" t="s">
        <v>354</v>
      </c>
      <c r="EF12" s="116"/>
      <c r="EG12" s="80" t="s">
        <v>355</v>
      </c>
    </row>
    <row r="13" ht="1.5" customHeight="1">
      <c r="A13" s="80" t="s">
        <v>357</v>
      </c>
      <c r="B13" s="113" t="s">
        <v>358</v>
      </c>
      <c r="C13" s="80" t="s">
        <v>245</v>
      </c>
      <c r="D13" s="80" t="s">
        <v>359</v>
      </c>
      <c r="E13" s="73" t="s">
        <v>217</v>
      </c>
      <c r="F13" s="80" t="s">
        <v>209</v>
      </c>
      <c r="G13" s="80" t="s">
        <v>211</v>
      </c>
      <c r="H13" s="61" t="str">
        <f t="shared" si="3"/>
        <v/>
      </c>
      <c r="I13" s="61" t="str">
        <f t="shared" si="4"/>
        <v/>
      </c>
      <c r="J13" s="61" t="str">
        <f t="shared" si="5"/>
        <v/>
      </c>
      <c r="K13" s="61" t="str">
        <f t="shared" si="6"/>
        <v/>
      </c>
      <c r="L13" s="61" t="str">
        <f t="shared" si="7"/>
        <v/>
      </c>
      <c r="M13" s="61">
        <f t="shared" si="8"/>
        <v>1</v>
      </c>
      <c r="N13" s="61" t="b">
        <f t="shared" si="9"/>
        <v>1</v>
      </c>
      <c r="O13" s="61" t="b">
        <f t="shared" si="10"/>
        <v>1</v>
      </c>
      <c r="P13" s="80">
        <v>1.0</v>
      </c>
      <c r="Q13" s="80">
        <v>1.0</v>
      </c>
      <c r="R13" s="80">
        <v>1.0</v>
      </c>
      <c r="S13" s="61" t="b">
        <f t="shared" si="11"/>
        <v>1</v>
      </c>
      <c r="T13" s="80">
        <v>1.0</v>
      </c>
      <c r="U13" s="80">
        <v>1.0</v>
      </c>
      <c r="V13" s="80">
        <v>1.0</v>
      </c>
      <c r="X13" s="61" t="str">
        <f t="shared" si="30"/>
        <v>Sampath:tse07, </v>
      </c>
      <c r="Y13" s="61" t="str">
        <f t="shared" si="12"/>
        <v/>
      </c>
      <c r="Z13" s="114" t="s">
        <v>360</v>
      </c>
      <c r="AA13" s="80" t="s">
        <v>266</v>
      </c>
      <c r="AC13" s="61">
        <f>countif('Charts-SLR'!A:A,AA13)</f>
        <v>1</v>
      </c>
      <c r="AD13" s="80" t="s">
        <v>361</v>
      </c>
      <c r="AE13" s="61">
        <f t="shared" si="13"/>
        <v>0</v>
      </c>
      <c r="AF13" s="80">
        <v>2006.0</v>
      </c>
      <c r="AG13" s="80" t="s">
        <v>231</v>
      </c>
      <c r="AH13" s="80">
        <v>50.0</v>
      </c>
      <c r="AI13" s="108">
        <f t="shared" si="14"/>
        <v>8.333333333</v>
      </c>
      <c r="AJ13" s="61">
        <f t="shared" si="15"/>
        <v>50</v>
      </c>
      <c r="AK13" s="61" t="str">
        <f t="shared" si="16"/>
        <v/>
      </c>
      <c r="AL13" s="61" t="str">
        <f t="shared" si="17"/>
        <v/>
      </c>
      <c r="AM13" s="61" t="str">
        <f t="shared" si="18"/>
        <v/>
      </c>
      <c r="AN13" s="61" t="str">
        <f t="shared" si="19"/>
        <v/>
      </c>
      <c r="AO13" s="61" t="str">
        <f t="shared" si="20"/>
        <v/>
      </c>
      <c r="AP13" s="80" t="s">
        <v>217</v>
      </c>
      <c r="AV13" s="61">
        <f t="shared" si="21"/>
        <v>1</v>
      </c>
      <c r="AX13" s="80" t="s">
        <v>217</v>
      </c>
      <c r="BD13" s="80" t="s">
        <v>217</v>
      </c>
      <c r="BE13" s="80" t="s">
        <v>217</v>
      </c>
      <c r="BG13" s="80" t="s">
        <v>217</v>
      </c>
      <c r="BJ13" s="80" t="s">
        <v>217</v>
      </c>
      <c r="BN13" s="80" t="s">
        <v>217</v>
      </c>
      <c r="BO13" s="218" t="str">
        <f t="shared" si="32"/>
        <v/>
      </c>
      <c r="BP13" s="61">
        <f t="shared" si="33"/>
        <v>2</v>
      </c>
      <c r="BQ13" s="80" t="s">
        <v>217</v>
      </c>
      <c r="BR13" s="80" t="s">
        <v>217</v>
      </c>
      <c r="BX13" s="80" t="s">
        <v>217</v>
      </c>
      <c r="CJ13" s="80" t="s">
        <v>217</v>
      </c>
      <c r="CL13" s="80" t="s">
        <v>217</v>
      </c>
      <c r="CM13" s="61">
        <f t="shared" si="22"/>
        <v>2</v>
      </c>
      <c r="CN13" s="80" t="s">
        <v>217</v>
      </c>
      <c r="CQ13" s="80" t="s">
        <v>217</v>
      </c>
      <c r="CR13" s="123"/>
      <c r="CS13" s="61">
        <f t="shared" si="23"/>
        <v>2</v>
      </c>
      <c r="CU13" s="80" t="s">
        <v>217</v>
      </c>
      <c r="CV13" s="61" t="str">
        <f t="shared" si="24"/>
        <v/>
      </c>
      <c r="CW13" s="61" t="str">
        <f t="shared" si="25"/>
        <v/>
      </c>
      <c r="CX13" s="61" t="str">
        <f t="shared" si="26"/>
        <v>FA</v>
      </c>
      <c r="CY13" s="80" t="s">
        <v>217</v>
      </c>
      <c r="CZ13" s="80" t="s">
        <v>217</v>
      </c>
      <c r="DA13" s="80" t="s">
        <v>217</v>
      </c>
      <c r="DG13" s="80" t="s">
        <v>217</v>
      </c>
      <c r="DH13" s="61" t="str">
        <f t="shared" si="27"/>
        <v/>
      </c>
      <c r="DI13" s="80" t="s">
        <v>217</v>
      </c>
      <c r="DK13" s="61" t="str">
        <f t="shared" si="28"/>
        <v/>
      </c>
      <c r="DL13" s="61" t="str">
        <f t="shared" si="29"/>
        <v/>
      </c>
      <c r="DP13" s="80" t="s">
        <v>217</v>
      </c>
      <c r="DT13" s="80" t="s">
        <v>217</v>
      </c>
      <c r="ED13" s="80">
        <v>3.0</v>
      </c>
      <c r="EE13" s="80" t="s">
        <v>367</v>
      </c>
      <c r="EF13" s="112">
        <v>18015.0</v>
      </c>
      <c r="EG13" s="80" t="s">
        <v>368</v>
      </c>
      <c r="EH13" s="80" t="s">
        <v>217</v>
      </c>
      <c r="EI13" s="80" t="s">
        <v>217</v>
      </c>
    </row>
    <row r="14" ht="13.5" customHeight="1">
      <c r="A14" s="80" t="s">
        <v>370</v>
      </c>
      <c r="B14" s="113" t="s">
        <v>371</v>
      </c>
      <c r="C14" s="80" t="s">
        <v>210</v>
      </c>
      <c r="D14" s="80" t="s">
        <v>372</v>
      </c>
      <c r="E14" s="73" t="s">
        <v>217</v>
      </c>
      <c r="F14" s="80" t="s">
        <v>245</v>
      </c>
      <c r="G14" s="80" t="s">
        <v>211</v>
      </c>
      <c r="H14" s="61" t="str">
        <f t="shared" si="3"/>
        <v/>
      </c>
      <c r="I14" s="61" t="str">
        <f t="shared" si="4"/>
        <v/>
      </c>
      <c r="J14" s="61" t="str">
        <f t="shared" si="5"/>
        <v/>
      </c>
      <c r="K14" s="61">
        <f t="shared" si="6"/>
        <v>1</v>
      </c>
      <c r="L14" s="61" t="str">
        <f t="shared" si="7"/>
        <v/>
      </c>
      <c r="M14" s="61" t="str">
        <f t="shared" si="8"/>
        <v/>
      </c>
      <c r="N14" s="61" t="b">
        <f t="shared" si="9"/>
        <v>1</v>
      </c>
      <c r="O14" s="61" t="b">
        <f t="shared" si="10"/>
        <v>1</v>
      </c>
      <c r="P14" s="80">
        <v>1.0</v>
      </c>
      <c r="Q14" s="80">
        <v>1.0</v>
      </c>
      <c r="R14" s="80">
        <v>1.0</v>
      </c>
      <c r="S14" s="61" t="b">
        <f t="shared" si="11"/>
        <v>1</v>
      </c>
      <c r="T14" s="80">
        <v>1.0</v>
      </c>
      <c r="U14" s="80">
        <v>1.0</v>
      </c>
      <c r="V14" s="80">
        <v>1.0</v>
      </c>
      <c r="X14" s="61" t="str">
        <f t="shared" si="30"/>
        <v/>
      </c>
      <c r="Y14" s="61" t="str">
        <f t="shared" si="12"/>
        <v/>
      </c>
      <c r="Z14" s="80" t="s">
        <v>373</v>
      </c>
      <c r="AA14" s="80" t="s">
        <v>266</v>
      </c>
      <c r="AC14" s="61">
        <f>countif('Charts-SLR'!A:A,AA14)</f>
        <v>1</v>
      </c>
      <c r="AD14" s="80" t="s">
        <v>374</v>
      </c>
      <c r="AE14" s="61">
        <f t="shared" si="13"/>
        <v>0</v>
      </c>
      <c r="AF14" s="80">
        <v>2010.0</v>
      </c>
      <c r="AG14" s="80" t="s">
        <v>216</v>
      </c>
      <c r="AH14" s="80">
        <v>3.0</v>
      </c>
      <c r="AI14" s="108">
        <f t="shared" si="14"/>
        <v>1.5</v>
      </c>
      <c r="AJ14" s="61" t="str">
        <f t="shared" si="15"/>
        <v/>
      </c>
      <c r="AK14" s="61" t="str">
        <f t="shared" si="16"/>
        <v/>
      </c>
      <c r="AL14" s="61">
        <f t="shared" si="17"/>
        <v>3</v>
      </c>
      <c r="AM14" s="61" t="str">
        <f t="shared" si="18"/>
        <v/>
      </c>
      <c r="AN14" s="61" t="str">
        <f t="shared" si="19"/>
        <v/>
      </c>
      <c r="AO14" s="61" t="str">
        <f t="shared" si="20"/>
        <v/>
      </c>
      <c r="AP14" s="80" t="s">
        <v>217</v>
      </c>
      <c r="AQ14" s="80" t="s">
        <v>217</v>
      </c>
      <c r="AV14" s="61">
        <f t="shared" si="21"/>
        <v>2</v>
      </c>
      <c r="AX14" s="80" t="s">
        <v>217</v>
      </c>
      <c r="BD14" s="80" t="s">
        <v>217</v>
      </c>
      <c r="BG14" s="80" t="s">
        <v>217</v>
      </c>
      <c r="BI14" s="80" t="s">
        <v>217</v>
      </c>
      <c r="BO14" s="216" t="s">
        <v>217</v>
      </c>
      <c r="BP14" s="61">
        <f t="shared" si="33"/>
        <v>3</v>
      </c>
      <c r="BQ14" s="80" t="s">
        <v>217</v>
      </c>
      <c r="BR14" s="80" t="s">
        <v>217</v>
      </c>
      <c r="BT14" s="80" t="s">
        <v>217</v>
      </c>
      <c r="CL14" s="80" t="s">
        <v>217</v>
      </c>
      <c r="CM14" s="61">
        <f t="shared" si="22"/>
        <v>1</v>
      </c>
      <c r="CO14" s="80" t="s">
        <v>217</v>
      </c>
      <c r="CS14" s="61">
        <f t="shared" si="23"/>
        <v>1</v>
      </c>
      <c r="CT14" s="80" t="s">
        <v>217</v>
      </c>
      <c r="CU14" s="80" t="s">
        <v>217</v>
      </c>
      <c r="CV14" s="61" t="str">
        <f t="shared" si="24"/>
        <v>both</v>
      </c>
      <c r="CW14" s="61" t="str">
        <f t="shared" si="25"/>
        <v/>
      </c>
      <c r="CX14" s="61" t="str">
        <f t="shared" si="26"/>
        <v/>
      </c>
      <c r="CZ14" s="80" t="s">
        <v>217</v>
      </c>
      <c r="DG14" s="80" t="s">
        <v>217</v>
      </c>
      <c r="DH14" s="61" t="str">
        <f t="shared" si="27"/>
        <v/>
      </c>
      <c r="DI14" s="80" t="s">
        <v>217</v>
      </c>
      <c r="DK14" s="61" t="str">
        <f t="shared" si="28"/>
        <v/>
      </c>
      <c r="DL14" s="61" t="str">
        <f t="shared" si="29"/>
        <v/>
      </c>
      <c r="DM14" s="80" t="s">
        <v>217</v>
      </c>
      <c r="DT14" s="80" t="s">
        <v>217</v>
      </c>
      <c r="EB14" s="80" t="s">
        <v>380</v>
      </c>
      <c r="ED14" s="80">
        <v>1.0</v>
      </c>
      <c r="EF14" s="112">
        <v>1329.0</v>
      </c>
      <c r="EH14" s="80" t="s">
        <v>217</v>
      </c>
    </row>
    <row r="15" ht="6.75" customHeight="1">
      <c r="A15" s="80" t="s">
        <v>382</v>
      </c>
      <c r="B15" s="113" t="s">
        <v>383</v>
      </c>
      <c r="C15" s="80" t="s">
        <v>210</v>
      </c>
      <c r="D15" s="80" t="s">
        <v>384</v>
      </c>
      <c r="E15" s="73" t="s">
        <v>217</v>
      </c>
      <c r="F15" s="80" t="s">
        <v>245</v>
      </c>
      <c r="G15" s="80" t="s">
        <v>211</v>
      </c>
      <c r="H15" s="61" t="str">
        <f t="shared" si="3"/>
        <v/>
      </c>
      <c r="I15" s="61" t="str">
        <f t="shared" si="4"/>
        <v/>
      </c>
      <c r="J15" s="61" t="str">
        <f t="shared" si="5"/>
        <v/>
      </c>
      <c r="K15" s="61">
        <f t="shared" si="6"/>
        <v>1</v>
      </c>
      <c r="L15" s="61" t="str">
        <f t="shared" si="7"/>
        <v/>
      </c>
      <c r="M15" s="61" t="str">
        <f t="shared" si="8"/>
        <v/>
      </c>
      <c r="N15" s="61" t="b">
        <f t="shared" si="9"/>
        <v>1</v>
      </c>
      <c r="O15" s="61" t="b">
        <f t="shared" si="10"/>
        <v>1</v>
      </c>
      <c r="P15" s="80">
        <v>1.0</v>
      </c>
      <c r="Q15" s="80">
        <v>1.0</v>
      </c>
      <c r="R15" s="80">
        <v>0.0</v>
      </c>
      <c r="S15" s="61" t="b">
        <f t="shared" si="11"/>
        <v>1</v>
      </c>
      <c r="T15" s="80">
        <v>1.0</v>
      </c>
      <c r="U15" s="80">
        <v>1.0</v>
      </c>
      <c r="V15" s="80">
        <v>1.0</v>
      </c>
      <c r="W15" s="80" t="s">
        <v>385</v>
      </c>
      <c r="X15" s="61" t="str">
        <f t="shared" si="30"/>
        <v/>
      </c>
      <c r="Y15" s="61" t="str">
        <f t="shared" si="12"/>
        <v>Mesbah:icse2011, </v>
      </c>
      <c r="Z15" s="80" t="s">
        <v>386</v>
      </c>
      <c r="AA15" s="80" t="s">
        <v>387</v>
      </c>
      <c r="AB15" s="80" t="s">
        <v>217</v>
      </c>
      <c r="AC15" s="80">
        <v>1.0</v>
      </c>
      <c r="AD15" s="80" t="s">
        <v>249</v>
      </c>
      <c r="AE15" s="61">
        <f t="shared" si="13"/>
        <v>0</v>
      </c>
      <c r="AF15" s="80">
        <v>2011.0</v>
      </c>
      <c r="AG15" s="80" t="s">
        <v>250</v>
      </c>
      <c r="AH15" s="80">
        <v>6.0</v>
      </c>
      <c r="AI15" s="108">
        <f t="shared" si="14"/>
        <v>6</v>
      </c>
      <c r="AJ15" s="61" t="str">
        <f t="shared" si="15"/>
        <v/>
      </c>
      <c r="AK15" s="61">
        <f t="shared" si="16"/>
        <v>6</v>
      </c>
      <c r="AL15" s="61" t="str">
        <f t="shared" si="17"/>
        <v/>
      </c>
      <c r="AM15" s="61" t="str">
        <f t="shared" si="18"/>
        <v/>
      </c>
      <c r="AN15" s="61" t="str">
        <f t="shared" si="19"/>
        <v/>
      </c>
      <c r="AO15" s="61" t="str">
        <f t="shared" si="20"/>
        <v/>
      </c>
      <c r="AP15" s="80" t="s">
        <v>217</v>
      </c>
      <c r="AQ15" s="80" t="s">
        <v>217</v>
      </c>
      <c r="AR15" s="80" t="s">
        <v>217</v>
      </c>
      <c r="AT15" s="80" t="s">
        <v>217</v>
      </c>
      <c r="AV15" s="61">
        <f t="shared" si="21"/>
        <v>4</v>
      </c>
      <c r="AX15" s="80" t="s">
        <v>217</v>
      </c>
      <c r="BD15" s="80" t="s">
        <v>217</v>
      </c>
      <c r="BG15" s="80" t="s">
        <v>217</v>
      </c>
      <c r="BI15" s="80" t="s">
        <v>217</v>
      </c>
      <c r="BJ15" s="80" t="s">
        <v>217</v>
      </c>
      <c r="BM15" s="80" t="s">
        <v>217</v>
      </c>
      <c r="BO15" s="218" t="str">
        <f t="shared" ref="BO15:BO24" si="34">if(and(BM15="x",BN15="x"), "x", "")</f>
        <v/>
      </c>
      <c r="BP15" s="61">
        <f t="shared" si="33"/>
        <v>1</v>
      </c>
      <c r="BQ15" s="80" t="s">
        <v>217</v>
      </c>
      <c r="BS15" s="80" t="s">
        <v>217</v>
      </c>
      <c r="BY15" s="80" t="s">
        <v>217</v>
      </c>
      <c r="CF15" s="80" t="s">
        <v>217</v>
      </c>
      <c r="CM15" s="61">
        <f t="shared" si="22"/>
        <v>1</v>
      </c>
      <c r="CN15" s="80" t="s">
        <v>217</v>
      </c>
      <c r="CP15" s="80" t="s">
        <v>217</v>
      </c>
      <c r="CR15" s="80" t="s">
        <v>217</v>
      </c>
      <c r="CS15" s="61">
        <f t="shared" si="23"/>
        <v>3</v>
      </c>
      <c r="CU15" s="80" t="s">
        <v>217</v>
      </c>
      <c r="CV15" s="61" t="str">
        <f t="shared" si="24"/>
        <v/>
      </c>
      <c r="CW15" s="61" t="str">
        <f t="shared" si="25"/>
        <v/>
      </c>
      <c r="CX15" s="61" t="str">
        <f t="shared" si="26"/>
        <v>FA</v>
      </c>
      <c r="DA15" s="80" t="s">
        <v>217</v>
      </c>
      <c r="DG15" s="80" t="s">
        <v>217</v>
      </c>
      <c r="DH15" s="61" t="str">
        <f t="shared" si="27"/>
        <v/>
      </c>
      <c r="DJ15" s="80" t="s">
        <v>217</v>
      </c>
      <c r="DK15" s="61" t="str">
        <f t="shared" si="28"/>
        <v/>
      </c>
      <c r="DL15" s="61" t="str">
        <f t="shared" si="29"/>
        <v/>
      </c>
      <c r="DN15" s="80" t="s">
        <v>217</v>
      </c>
      <c r="DO15" s="80" t="s">
        <v>217</v>
      </c>
      <c r="DY15" s="80" t="s">
        <v>217</v>
      </c>
      <c r="EB15" s="80" t="s">
        <v>392</v>
      </c>
      <c r="ED15" s="80">
        <v>5.0</v>
      </c>
      <c r="EE15" s="80" t="s">
        <v>393</v>
      </c>
      <c r="EF15" s="112">
        <v>363538.0</v>
      </c>
      <c r="EI15" s="80" t="s">
        <v>217</v>
      </c>
      <c r="EJ15" s="80" t="s">
        <v>217</v>
      </c>
    </row>
    <row r="16" ht="1.5" customHeight="1">
      <c r="A16" s="114" t="s">
        <v>395</v>
      </c>
      <c r="B16" s="113" t="s">
        <v>396</v>
      </c>
      <c r="C16" s="80" t="s">
        <v>245</v>
      </c>
      <c r="D16" s="80" t="s">
        <v>397</v>
      </c>
      <c r="E16" s="73" t="s">
        <v>217</v>
      </c>
      <c r="F16" s="80" t="s">
        <v>209</v>
      </c>
      <c r="G16" s="80" t="s">
        <v>211</v>
      </c>
      <c r="H16" s="61" t="str">
        <f t="shared" si="3"/>
        <v/>
      </c>
      <c r="I16" s="61" t="str">
        <f t="shared" si="4"/>
        <v/>
      </c>
      <c r="J16" s="61" t="str">
        <f t="shared" si="5"/>
        <v/>
      </c>
      <c r="K16" s="61" t="str">
        <f t="shared" si="6"/>
        <v/>
      </c>
      <c r="L16" s="61" t="str">
        <f t="shared" si="7"/>
        <v/>
      </c>
      <c r="M16" s="61">
        <f t="shared" si="8"/>
        <v>1</v>
      </c>
      <c r="N16" s="61" t="b">
        <f t="shared" si="9"/>
        <v>1</v>
      </c>
      <c r="O16" s="61" t="b">
        <f t="shared" si="10"/>
        <v>1</v>
      </c>
      <c r="P16" s="80">
        <v>1.0</v>
      </c>
      <c r="Q16" s="80">
        <v>1.0</v>
      </c>
      <c r="S16" s="61" t="b">
        <f t="shared" si="11"/>
        <v>1</v>
      </c>
      <c r="T16" s="80">
        <v>1.0</v>
      </c>
      <c r="U16" s="80">
        <v>1.0</v>
      </c>
      <c r="W16" s="80" t="s">
        <v>398</v>
      </c>
      <c r="X16" s="61" t="str">
        <f t="shared" si="30"/>
        <v/>
      </c>
      <c r="Y16" s="61" t="str">
        <f t="shared" si="12"/>
        <v/>
      </c>
      <c r="Z16" s="80" t="s">
        <v>399</v>
      </c>
      <c r="AA16" s="80" t="s">
        <v>266</v>
      </c>
      <c r="AC16" s="61">
        <f>countif('Charts-SLR'!A:A,AA16)</f>
        <v>1</v>
      </c>
      <c r="AD16" s="80" t="s">
        <v>400</v>
      </c>
      <c r="AE16" s="61">
        <f t="shared" si="13"/>
        <v>0</v>
      </c>
      <c r="AF16" s="80">
        <v>2008.0</v>
      </c>
      <c r="AG16" s="80" t="s">
        <v>268</v>
      </c>
      <c r="AH16" s="80">
        <v>14.0</v>
      </c>
      <c r="AI16" s="108">
        <f t="shared" si="14"/>
        <v>3.5</v>
      </c>
      <c r="AJ16" s="61" t="str">
        <f t="shared" si="15"/>
        <v/>
      </c>
      <c r="AK16" s="61" t="str">
        <f t="shared" si="16"/>
        <v/>
      </c>
      <c r="AL16" s="61" t="str">
        <f t="shared" si="17"/>
        <v/>
      </c>
      <c r="AM16" s="61" t="str">
        <f t="shared" si="18"/>
        <v/>
      </c>
      <c r="AN16" s="61">
        <f t="shared" si="19"/>
        <v>14</v>
      </c>
      <c r="AO16" s="61" t="str">
        <f t="shared" si="20"/>
        <v/>
      </c>
      <c r="AP16" s="80" t="s">
        <v>217</v>
      </c>
      <c r="AQ16" s="80" t="s">
        <v>217</v>
      </c>
      <c r="AV16" s="61">
        <f t="shared" si="21"/>
        <v>2</v>
      </c>
      <c r="AX16" s="80" t="s">
        <v>217</v>
      </c>
      <c r="BE16" s="80" t="s">
        <v>217</v>
      </c>
      <c r="BL16" s="80" t="s">
        <v>217</v>
      </c>
      <c r="BN16" s="80" t="s">
        <v>217</v>
      </c>
      <c r="BO16" s="218" t="str">
        <f t="shared" si="34"/>
        <v/>
      </c>
      <c r="BP16" s="61">
        <f t="shared" si="33"/>
        <v>2</v>
      </c>
      <c r="BQ16" s="80" t="s">
        <v>217</v>
      </c>
      <c r="BT16" s="80" t="s">
        <v>217</v>
      </c>
      <c r="BV16" s="80" t="s">
        <v>217</v>
      </c>
      <c r="CD16" s="80" t="s">
        <v>217</v>
      </c>
      <c r="CM16" s="61">
        <f t="shared" si="22"/>
        <v>1</v>
      </c>
      <c r="CR16" s="80" t="s">
        <v>217</v>
      </c>
      <c r="CS16" s="61">
        <f t="shared" si="23"/>
        <v>1</v>
      </c>
      <c r="CU16" s="80" t="s">
        <v>217</v>
      </c>
      <c r="CV16" s="61" t="str">
        <f t="shared" si="24"/>
        <v/>
      </c>
      <c r="CW16" s="61" t="str">
        <f t="shared" si="25"/>
        <v/>
      </c>
      <c r="CX16" s="61" t="str">
        <f t="shared" si="26"/>
        <v>FA</v>
      </c>
      <c r="DA16" s="80" t="s">
        <v>217</v>
      </c>
      <c r="DB16" s="80" t="s">
        <v>217</v>
      </c>
      <c r="DG16" s="80" t="s">
        <v>217</v>
      </c>
      <c r="DH16" s="61" t="str">
        <f t="shared" si="27"/>
        <v/>
      </c>
      <c r="DI16" s="80" t="s">
        <v>217</v>
      </c>
      <c r="DK16" s="61" t="str">
        <f t="shared" si="28"/>
        <v/>
      </c>
      <c r="DL16" s="61" t="str">
        <f t="shared" si="29"/>
        <v/>
      </c>
      <c r="DP16" s="80" t="s">
        <v>217</v>
      </c>
      <c r="DT16" s="80" t="s">
        <v>217</v>
      </c>
      <c r="EB16" s="80" t="s">
        <v>405</v>
      </c>
      <c r="ED16" s="80">
        <v>4.0</v>
      </c>
      <c r="EE16" s="80" t="s">
        <v>406</v>
      </c>
      <c r="EF16" s="112">
        <v>76256.0</v>
      </c>
      <c r="EG16" s="80" t="s">
        <v>407</v>
      </c>
      <c r="EI16" s="80" t="s">
        <v>217</v>
      </c>
    </row>
    <row r="17" ht="1.5" customHeight="1">
      <c r="A17" s="80" t="s">
        <v>409</v>
      </c>
      <c r="B17" s="113" t="s">
        <v>410</v>
      </c>
      <c r="C17" s="80" t="s">
        <v>245</v>
      </c>
      <c r="D17" s="80" t="s">
        <v>411</v>
      </c>
      <c r="E17" s="73" t="s">
        <v>217</v>
      </c>
      <c r="F17" s="80" t="s">
        <v>209</v>
      </c>
      <c r="G17" s="80" t="s">
        <v>211</v>
      </c>
      <c r="H17" s="61" t="str">
        <f t="shared" si="3"/>
        <v/>
      </c>
      <c r="I17" s="61" t="str">
        <f t="shared" si="4"/>
        <v/>
      </c>
      <c r="J17" s="61" t="str">
        <f t="shared" si="5"/>
        <v/>
      </c>
      <c r="K17" s="61" t="str">
        <f t="shared" si="6"/>
        <v/>
      </c>
      <c r="L17" s="61" t="str">
        <f t="shared" si="7"/>
        <v/>
      </c>
      <c r="M17" s="61">
        <f t="shared" si="8"/>
        <v>1</v>
      </c>
      <c r="N17" s="61" t="b">
        <f t="shared" si="9"/>
        <v>1</v>
      </c>
      <c r="O17" s="61" t="b">
        <f t="shared" si="10"/>
        <v>1</v>
      </c>
      <c r="P17" s="80">
        <v>1.0</v>
      </c>
      <c r="Q17" s="80">
        <v>1.0</v>
      </c>
      <c r="R17" s="80">
        <v>1.0</v>
      </c>
      <c r="S17" s="61" t="b">
        <f t="shared" si="11"/>
        <v>1</v>
      </c>
      <c r="T17" s="80">
        <v>1.0</v>
      </c>
      <c r="U17" s="80">
        <v>1.0</v>
      </c>
      <c r="V17" s="80">
        <v>1.0</v>
      </c>
      <c r="X17" s="61" t="str">
        <f t="shared" si="30"/>
        <v>Sprenkle:issre07, </v>
      </c>
      <c r="Y17" s="61" t="str">
        <f t="shared" si="12"/>
        <v/>
      </c>
      <c r="Z17" s="80" t="s">
        <v>412</v>
      </c>
      <c r="AA17" s="80" t="s">
        <v>266</v>
      </c>
      <c r="AC17" s="61">
        <f>countif('Charts-SLR'!A:A,AA17)</f>
        <v>1</v>
      </c>
      <c r="AD17" s="80" t="s">
        <v>413</v>
      </c>
      <c r="AE17" s="61">
        <f t="shared" si="13"/>
        <v>0</v>
      </c>
      <c r="AF17" s="80">
        <v>2007.0</v>
      </c>
      <c r="AG17" s="80" t="s">
        <v>250</v>
      </c>
      <c r="AH17" s="80">
        <v>23.0</v>
      </c>
      <c r="AI17" s="108">
        <f t="shared" si="14"/>
        <v>4.6</v>
      </c>
      <c r="AJ17" s="61" t="str">
        <f t="shared" si="15"/>
        <v/>
      </c>
      <c r="AK17" s="61">
        <f t="shared" si="16"/>
        <v>23</v>
      </c>
      <c r="AL17" s="61" t="str">
        <f t="shared" si="17"/>
        <v/>
      </c>
      <c r="AM17" s="61" t="str">
        <f t="shared" si="18"/>
        <v/>
      </c>
      <c r="AN17" s="61" t="str">
        <f t="shared" si="19"/>
        <v/>
      </c>
      <c r="AO17" s="61" t="str">
        <f t="shared" si="20"/>
        <v>Sprenkle:issre07, </v>
      </c>
      <c r="AQ17" s="80" t="s">
        <v>217</v>
      </c>
      <c r="AU17" s="80" t="s">
        <v>217</v>
      </c>
      <c r="AV17" s="61">
        <f t="shared" si="21"/>
        <v>2</v>
      </c>
      <c r="AX17" s="80" t="s">
        <v>217</v>
      </c>
      <c r="BF17" s="80" t="s">
        <v>217</v>
      </c>
      <c r="BK17" s="80" t="s">
        <v>217</v>
      </c>
      <c r="BN17" s="80" t="s">
        <v>217</v>
      </c>
      <c r="BO17" s="218" t="str">
        <f t="shared" si="34"/>
        <v/>
      </c>
      <c r="BP17" s="61">
        <f t="shared" si="33"/>
        <v>2</v>
      </c>
      <c r="BQ17" s="80" t="s">
        <v>217</v>
      </c>
      <c r="CA17" s="80" t="s">
        <v>217</v>
      </c>
      <c r="CD17" s="80" t="s">
        <v>217</v>
      </c>
      <c r="CM17" s="61">
        <f t="shared" si="22"/>
        <v>1</v>
      </c>
      <c r="CP17" s="80" t="s">
        <v>217</v>
      </c>
      <c r="CS17" s="61">
        <f t="shared" si="23"/>
        <v>1</v>
      </c>
      <c r="CU17" s="80" t="s">
        <v>217</v>
      </c>
      <c r="CV17" s="61" t="str">
        <f t="shared" si="24"/>
        <v/>
      </c>
      <c r="CW17" s="61" t="str">
        <f t="shared" si="25"/>
        <v/>
      </c>
      <c r="CX17" s="61" t="str">
        <f t="shared" si="26"/>
        <v>FA</v>
      </c>
      <c r="DA17" s="80" t="s">
        <v>217</v>
      </c>
      <c r="DB17" s="80" t="s">
        <v>217</v>
      </c>
      <c r="DG17" s="80" t="s">
        <v>217</v>
      </c>
      <c r="DH17" s="61" t="str">
        <f t="shared" si="27"/>
        <v/>
      </c>
      <c r="DI17" s="80" t="s">
        <v>217</v>
      </c>
      <c r="DK17" s="61" t="str">
        <f t="shared" si="28"/>
        <v/>
      </c>
      <c r="DL17" s="61" t="str">
        <f t="shared" si="29"/>
        <v/>
      </c>
      <c r="DM17" s="80" t="s">
        <v>217</v>
      </c>
      <c r="DT17" s="80" t="s">
        <v>217</v>
      </c>
      <c r="ED17" s="80">
        <v>4.0</v>
      </c>
      <c r="EE17" s="80" t="s">
        <v>418</v>
      </c>
      <c r="EF17" s="112">
        <v>67250.0</v>
      </c>
      <c r="EG17" s="80" t="s">
        <v>419</v>
      </c>
      <c r="EH17" s="80" t="s">
        <v>217</v>
      </c>
      <c r="EI17" s="80" t="s">
        <v>217</v>
      </c>
    </row>
    <row r="18" ht="1.5" customHeight="1">
      <c r="A18" s="114" t="s">
        <v>433</v>
      </c>
      <c r="B18" s="113" t="s">
        <v>434</v>
      </c>
      <c r="C18" s="80" t="s">
        <v>245</v>
      </c>
      <c r="D18" s="80" t="s">
        <v>435</v>
      </c>
      <c r="E18" s="73" t="s">
        <v>217</v>
      </c>
      <c r="F18" s="80" t="s">
        <v>209</v>
      </c>
      <c r="G18" s="80" t="s">
        <v>211</v>
      </c>
      <c r="H18" s="61" t="str">
        <f t="shared" si="3"/>
        <v/>
      </c>
      <c r="I18" s="61" t="str">
        <f t="shared" si="4"/>
        <v/>
      </c>
      <c r="J18" s="61" t="str">
        <f t="shared" si="5"/>
        <v/>
      </c>
      <c r="K18" s="61" t="str">
        <f t="shared" si="6"/>
        <v/>
      </c>
      <c r="L18" s="61" t="str">
        <f t="shared" si="7"/>
        <v/>
      </c>
      <c r="M18" s="61">
        <f t="shared" si="8"/>
        <v>1</v>
      </c>
      <c r="N18" s="61" t="b">
        <f t="shared" si="9"/>
        <v>1</v>
      </c>
      <c r="O18" s="61" t="b">
        <f t="shared" si="10"/>
        <v>1</v>
      </c>
      <c r="P18" s="80">
        <v>1.0</v>
      </c>
      <c r="Q18" s="80">
        <v>1.0</v>
      </c>
      <c r="S18" s="61" t="b">
        <f t="shared" si="11"/>
        <v>1</v>
      </c>
      <c r="T18" s="80">
        <v>1.0</v>
      </c>
      <c r="U18" s="80">
        <v>1.0</v>
      </c>
      <c r="W18" s="80" t="s">
        <v>436</v>
      </c>
      <c r="X18" s="61" t="str">
        <f t="shared" si="30"/>
        <v/>
      </c>
      <c r="Y18" s="61" t="str">
        <f t="shared" si="12"/>
        <v/>
      </c>
      <c r="Z18" s="80" t="s">
        <v>437</v>
      </c>
      <c r="AA18" s="80" t="s">
        <v>438</v>
      </c>
      <c r="AB18" s="80" t="s">
        <v>217</v>
      </c>
      <c r="AC18" s="80">
        <v>1.0</v>
      </c>
      <c r="AD18" s="80" t="s">
        <v>267</v>
      </c>
      <c r="AE18" s="61">
        <f t="shared" si="13"/>
        <v>0</v>
      </c>
      <c r="AF18" s="80">
        <v>2008.0</v>
      </c>
      <c r="AG18" s="80" t="s">
        <v>250</v>
      </c>
      <c r="AH18" s="80">
        <v>16.0</v>
      </c>
      <c r="AI18" s="108">
        <f t="shared" si="14"/>
        <v>4</v>
      </c>
      <c r="AJ18" s="61" t="str">
        <f t="shared" si="15"/>
        <v/>
      </c>
      <c r="AK18" s="61">
        <f t="shared" si="16"/>
        <v>16</v>
      </c>
      <c r="AL18" s="61" t="str">
        <f t="shared" si="17"/>
        <v/>
      </c>
      <c r="AM18" s="61" t="str">
        <f t="shared" si="18"/>
        <v/>
      </c>
      <c r="AN18" s="61" t="str">
        <f t="shared" si="19"/>
        <v/>
      </c>
      <c r="AO18" s="61" t="str">
        <f t="shared" si="20"/>
        <v/>
      </c>
      <c r="AP18" s="80" t="s">
        <v>217</v>
      </c>
      <c r="AQ18" s="80" t="s">
        <v>217</v>
      </c>
      <c r="AV18" s="61">
        <f t="shared" si="21"/>
        <v>2</v>
      </c>
      <c r="AX18" s="80" t="s">
        <v>217</v>
      </c>
      <c r="BE18" s="80" t="s">
        <v>217</v>
      </c>
      <c r="BL18" s="80" t="s">
        <v>217</v>
      </c>
      <c r="BN18" s="80" t="s">
        <v>217</v>
      </c>
      <c r="BO18" s="218" t="str">
        <f t="shared" si="34"/>
        <v/>
      </c>
      <c r="BP18" s="61">
        <f t="shared" si="33"/>
        <v>2</v>
      </c>
      <c r="BR18" s="80" t="s">
        <v>217</v>
      </c>
      <c r="BT18" s="80" t="s">
        <v>217</v>
      </c>
      <c r="BX18" s="80" t="s">
        <v>217</v>
      </c>
      <c r="CF18" s="80" t="s">
        <v>217</v>
      </c>
      <c r="CK18" s="80" t="s">
        <v>217</v>
      </c>
      <c r="CM18" s="61">
        <f t="shared" si="22"/>
        <v>2</v>
      </c>
      <c r="CN18" s="80" t="s">
        <v>217</v>
      </c>
      <c r="CR18" s="80" t="s">
        <v>217</v>
      </c>
      <c r="CS18" s="61">
        <f t="shared" si="23"/>
        <v>2</v>
      </c>
      <c r="CU18" s="80" t="s">
        <v>217</v>
      </c>
      <c r="CV18" s="61" t="str">
        <f t="shared" si="24"/>
        <v/>
      </c>
      <c r="CW18" s="61" t="str">
        <f t="shared" si="25"/>
        <v/>
      </c>
      <c r="CX18" s="61" t="str">
        <f t="shared" si="26"/>
        <v>FA</v>
      </c>
      <c r="DA18" s="80" t="s">
        <v>217</v>
      </c>
      <c r="DE18" s="80" t="s">
        <v>1380</v>
      </c>
      <c r="DG18" s="80" t="s">
        <v>217</v>
      </c>
      <c r="DH18" s="61" t="str">
        <f t="shared" si="27"/>
        <v/>
      </c>
      <c r="DI18" s="80" t="s">
        <v>217</v>
      </c>
      <c r="DK18" s="61" t="str">
        <f t="shared" si="28"/>
        <v/>
      </c>
      <c r="DL18" s="61" t="str">
        <f t="shared" si="29"/>
        <v/>
      </c>
      <c r="DP18" s="80" t="s">
        <v>217</v>
      </c>
      <c r="DZ18" s="80" t="s">
        <v>217</v>
      </c>
      <c r="ED18" s="80">
        <v>1.0</v>
      </c>
      <c r="EE18" s="80" t="s">
        <v>444</v>
      </c>
      <c r="EF18" s="116"/>
      <c r="EI18" s="80" t="s">
        <v>217</v>
      </c>
    </row>
    <row r="19" ht="1.5" customHeight="1">
      <c r="A19" s="80" t="s">
        <v>460</v>
      </c>
      <c r="B19" s="113" t="s">
        <v>1381</v>
      </c>
      <c r="C19" s="80" t="s">
        <v>210</v>
      </c>
      <c r="D19" s="80" t="s">
        <v>462</v>
      </c>
      <c r="E19" s="73" t="s">
        <v>217</v>
      </c>
      <c r="F19" s="80" t="s">
        <v>209</v>
      </c>
      <c r="G19" s="80" t="s">
        <v>211</v>
      </c>
      <c r="H19" s="61" t="str">
        <f t="shared" si="3"/>
        <v/>
      </c>
      <c r="I19" s="61" t="str">
        <f t="shared" si="4"/>
        <v/>
      </c>
      <c r="J19" s="61">
        <f t="shared" si="5"/>
        <v>1</v>
      </c>
      <c r="K19" s="61" t="str">
        <f t="shared" si="6"/>
        <v/>
      </c>
      <c r="L19" s="61" t="str">
        <f t="shared" si="7"/>
        <v/>
      </c>
      <c r="M19" s="61" t="str">
        <f t="shared" si="8"/>
        <v/>
      </c>
      <c r="N19" s="61" t="b">
        <f t="shared" si="9"/>
        <v>1</v>
      </c>
      <c r="O19" s="61" t="b">
        <f>SUM(T19:V19)&gt;=2</f>
        <v>1</v>
      </c>
      <c r="P19" s="80">
        <v>1.0</v>
      </c>
      <c r="Q19" s="80">
        <v>1.0</v>
      </c>
      <c r="R19" s="80">
        <v>1.0</v>
      </c>
      <c r="S19" s="61" t="b">
        <f t="shared" si="11"/>
        <v>1</v>
      </c>
      <c r="T19" s="80">
        <v>1.0</v>
      </c>
      <c r="U19" s="80">
        <v>1.0</v>
      </c>
      <c r="X19" s="61" t="str">
        <f t="shared" si="30"/>
        <v/>
      </c>
      <c r="Y19" s="61" t="str">
        <f t="shared" si="12"/>
        <v/>
      </c>
      <c r="Z19" s="114" t="s">
        <v>463</v>
      </c>
      <c r="AA19" s="80" t="s">
        <v>464</v>
      </c>
      <c r="AC19" s="61">
        <f>countif('Charts-SLR'!A:A,AA19)</f>
        <v>1</v>
      </c>
      <c r="AD19" s="80" t="s">
        <v>465</v>
      </c>
      <c r="AE19" s="61">
        <f t="shared" si="13"/>
        <v>0</v>
      </c>
      <c r="AF19" s="80">
        <v>2010.0</v>
      </c>
      <c r="AG19" s="80" t="s">
        <v>250</v>
      </c>
      <c r="AH19" s="80">
        <v>1.0</v>
      </c>
      <c r="AI19" s="108">
        <f t="shared" si="14"/>
        <v>0.5</v>
      </c>
      <c r="AJ19" s="61" t="str">
        <f t="shared" si="15"/>
        <v/>
      </c>
      <c r="AK19" s="61">
        <f t="shared" si="16"/>
        <v>1</v>
      </c>
      <c r="AL19" s="61" t="str">
        <f t="shared" si="17"/>
        <v/>
      </c>
      <c r="AM19" s="61" t="str">
        <f t="shared" si="18"/>
        <v/>
      </c>
      <c r="AN19" s="61" t="str">
        <f t="shared" si="19"/>
        <v/>
      </c>
      <c r="AO19" s="61" t="str">
        <f t="shared" si="20"/>
        <v/>
      </c>
      <c r="AQ19" s="80" t="s">
        <v>217</v>
      </c>
      <c r="AS19" s="80" t="s">
        <v>217</v>
      </c>
      <c r="AV19" s="61">
        <f t="shared" si="21"/>
        <v>2</v>
      </c>
      <c r="AX19" s="80" t="s">
        <v>217</v>
      </c>
      <c r="BD19" s="80" t="s">
        <v>217</v>
      </c>
      <c r="BG19" s="80" t="s">
        <v>217</v>
      </c>
      <c r="BN19" s="80" t="s">
        <v>217</v>
      </c>
      <c r="BO19" s="218" t="str">
        <f t="shared" si="34"/>
        <v/>
      </c>
      <c r="BP19" s="61">
        <f t="shared" si="33"/>
        <v>2</v>
      </c>
      <c r="BQ19" s="80" t="s">
        <v>217</v>
      </c>
      <c r="BT19" s="80" t="s">
        <v>217</v>
      </c>
      <c r="CD19" s="80" t="s">
        <v>217</v>
      </c>
      <c r="CE19" s="80" t="s">
        <v>217</v>
      </c>
      <c r="CM19" s="61">
        <f t="shared" si="22"/>
        <v>2</v>
      </c>
      <c r="CO19" s="80" t="s">
        <v>217</v>
      </c>
      <c r="CS19" s="61">
        <f t="shared" si="23"/>
        <v>1</v>
      </c>
      <c r="CU19" s="80" t="s">
        <v>217</v>
      </c>
      <c r="CV19" s="61" t="str">
        <f t="shared" si="24"/>
        <v/>
      </c>
      <c r="CW19" s="61" t="str">
        <f t="shared" si="25"/>
        <v/>
      </c>
      <c r="CX19" s="61" t="str">
        <f t="shared" si="26"/>
        <v>FA</v>
      </c>
      <c r="CY19" s="80" t="s">
        <v>217</v>
      </c>
      <c r="DG19" s="80" t="s">
        <v>217</v>
      </c>
      <c r="DH19" s="61" t="str">
        <f t="shared" si="27"/>
        <v/>
      </c>
      <c r="DI19" s="80" t="s">
        <v>217</v>
      </c>
      <c r="DK19" s="61" t="str">
        <f t="shared" si="28"/>
        <v/>
      </c>
      <c r="DL19" s="61" t="str">
        <f t="shared" si="29"/>
        <v/>
      </c>
      <c r="DQ19" s="80" t="s">
        <v>217</v>
      </c>
      <c r="DS19" s="80" t="s">
        <v>217</v>
      </c>
      <c r="EB19" s="80" t="s">
        <v>467</v>
      </c>
      <c r="ED19" s="80">
        <v>2.0</v>
      </c>
      <c r="EE19" s="80" t="s">
        <v>468</v>
      </c>
      <c r="EF19" s="116"/>
      <c r="EI19" s="80" t="s">
        <v>469</v>
      </c>
    </row>
    <row r="20" ht="6.0" customHeight="1">
      <c r="A20" s="80" t="s">
        <v>471</v>
      </c>
      <c r="B20" s="113" t="s">
        <v>472</v>
      </c>
      <c r="C20" s="80" t="s">
        <v>209</v>
      </c>
      <c r="D20" s="80" t="s">
        <v>473</v>
      </c>
      <c r="E20" s="73" t="s">
        <v>217</v>
      </c>
      <c r="F20" s="80" t="s">
        <v>245</v>
      </c>
      <c r="G20" s="80" t="s">
        <v>227</v>
      </c>
      <c r="H20" s="61" t="str">
        <f t="shared" si="3"/>
        <v/>
      </c>
      <c r="I20" s="61">
        <f t="shared" si="4"/>
        <v>1</v>
      </c>
      <c r="J20" s="61" t="str">
        <f t="shared" si="5"/>
        <v/>
      </c>
      <c r="K20" s="61" t="str">
        <f t="shared" si="6"/>
        <v/>
      </c>
      <c r="L20" s="61" t="str">
        <f t="shared" si="7"/>
        <v/>
      </c>
      <c r="M20" s="61" t="str">
        <f t="shared" si="8"/>
        <v/>
      </c>
      <c r="N20" s="61" t="b">
        <f t="shared" si="9"/>
        <v>1</v>
      </c>
      <c r="O20" s="61" t="b">
        <f t="shared" ref="O20:O51" si="35">SUM(P20:R20)&gt;=2</f>
        <v>1</v>
      </c>
      <c r="P20" s="80">
        <v>1.0</v>
      </c>
      <c r="Q20" s="80">
        <v>1.0</v>
      </c>
      <c r="R20" s="80">
        <v>1.0</v>
      </c>
      <c r="S20" s="61" t="b">
        <f t="shared" si="11"/>
        <v>1</v>
      </c>
      <c r="T20" s="80">
        <v>1.0</v>
      </c>
      <c r="U20" s="80">
        <v>1.0</v>
      </c>
      <c r="V20" s="80">
        <v>1.0</v>
      </c>
      <c r="X20" s="61" t="str">
        <f t="shared" si="30"/>
        <v/>
      </c>
      <c r="Y20" s="61" t="str">
        <f t="shared" si="12"/>
        <v/>
      </c>
      <c r="Z20" s="114" t="s">
        <v>474</v>
      </c>
      <c r="AA20" s="80" t="s">
        <v>266</v>
      </c>
      <c r="AC20" s="61">
        <f>countif('Charts-SLR'!A:A,AA20)</f>
        <v>1</v>
      </c>
      <c r="AD20" s="80" t="s">
        <v>475</v>
      </c>
      <c r="AE20" s="61">
        <f t="shared" si="13"/>
        <v>0</v>
      </c>
      <c r="AF20" s="80">
        <v>2011.0</v>
      </c>
      <c r="AG20" s="80" t="s">
        <v>231</v>
      </c>
      <c r="AH20" s="80">
        <v>1.0</v>
      </c>
      <c r="AI20" s="108">
        <f t="shared" si="14"/>
        <v>1</v>
      </c>
      <c r="AJ20" s="61">
        <f t="shared" si="15"/>
        <v>1</v>
      </c>
      <c r="AK20" s="61" t="str">
        <f t="shared" si="16"/>
        <v/>
      </c>
      <c r="AL20" s="61" t="str">
        <f t="shared" si="17"/>
        <v/>
      </c>
      <c r="AM20" s="61" t="str">
        <f t="shared" si="18"/>
        <v/>
      </c>
      <c r="AN20" s="61" t="str">
        <f t="shared" si="19"/>
        <v/>
      </c>
      <c r="AO20" s="61" t="str">
        <f t="shared" si="20"/>
        <v/>
      </c>
      <c r="AP20" s="80" t="s">
        <v>217</v>
      </c>
      <c r="AQ20" s="80" t="s">
        <v>217</v>
      </c>
      <c r="AT20" s="80" t="s">
        <v>217</v>
      </c>
      <c r="AV20" s="61">
        <f t="shared" si="21"/>
        <v>3</v>
      </c>
      <c r="AX20" s="80" t="s">
        <v>217</v>
      </c>
      <c r="BD20" s="80" t="s">
        <v>217</v>
      </c>
      <c r="BJ20" s="80" t="s">
        <v>217</v>
      </c>
      <c r="BK20" s="80" t="s">
        <v>217</v>
      </c>
      <c r="BN20" s="80" t="s">
        <v>217</v>
      </c>
      <c r="BO20" s="218" t="str">
        <f t="shared" si="34"/>
        <v/>
      </c>
      <c r="BP20" s="61">
        <f t="shared" si="33"/>
        <v>2</v>
      </c>
      <c r="BS20" s="80" t="s">
        <v>217</v>
      </c>
      <c r="BT20" s="80" t="s">
        <v>217</v>
      </c>
      <c r="CD20" s="80" t="s">
        <v>217</v>
      </c>
      <c r="CM20" s="61">
        <f t="shared" si="22"/>
        <v>1</v>
      </c>
      <c r="CP20" s="80" t="s">
        <v>217</v>
      </c>
      <c r="CS20" s="61">
        <f t="shared" si="23"/>
        <v>1</v>
      </c>
      <c r="CU20" s="80" t="s">
        <v>217</v>
      </c>
      <c r="CV20" s="61" t="str">
        <f t="shared" si="24"/>
        <v/>
      </c>
      <c r="CW20" s="61" t="str">
        <f t="shared" si="25"/>
        <v/>
      </c>
      <c r="CX20" s="61" t="str">
        <f t="shared" si="26"/>
        <v>FA</v>
      </c>
      <c r="CZ20" s="80" t="s">
        <v>217</v>
      </c>
      <c r="DG20" s="80" t="s">
        <v>217</v>
      </c>
      <c r="DH20" s="61" t="str">
        <f t="shared" si="27"/>
        <v/>
      </c>
      <c r="DI20" s="80" t="s">
        <v>217</v>
      </c>
      <c r="DK20" s="61" t="str">
        <f t="shared" si="28"/>
        <v/>
      </c>
      <c r="DL20" s="61" t="str">
        <f t="shared" si="29"/>
        <v/>
      </c>
      <c r="DS20" s="80" t="s">
        <v>217</v>
      </c>
      <c r="EB20" s="80" t="s">
        <v>481</v>
      </c>
      <c r="ED20" s="80" t="s">
        <v>482</v>
      </c>
      <c r="EE20" s="80" t="s">
        <v>482</v>
      </c>
      <c r="EF20" s="112">
        <v>375000.0</v>
      </c>
      <c r="EI20" s="80" t="s">
        <v>483</v>
      </c>
    </row>
    <row r="21" ht="1.5" customHeight="1">
      <c r="A21" s="80" t="s">
        <v>485</v>
      </c>
      <c r="B21" s="113" t="s">
        <v>486</v>
      </c>
      <c r="C21" s="80" t="s">
        <v>245</v>
      </c>
      <c r="D21" s="80" t="s">
        <v>487</v>
      </c>
      <c r="E21" s="73" t="s">
        <v>217</v>
      </c>
      <c r="F21" s="80" t="s">
        <v>209</v>
      </c>
      <c r="G21" s="80" t="s">
        <v>211</v>
      </c>
      <c r="H21" s="61" t="str">
        <f t="shared" si="3"/>
        <v/>
      </c>
      <c r="I21" s="61" t="str">
        <f t="shared" si="4"/>
        <v/>
      </c>
      <c r="J21" s="61" t="str">
        <f t="shared" si="5"/>
        <v/>
      </c>
      <c r="K21" s="61" t="str">
        <f t="shared" si="6"/>
        <v/>
      </c>
      <c r="L21" s="61" t="str">
        <f t="shared" si="7"/>
        <v/>
      </c>
      <c r="M21" s="61">
        <f t="shared" si="8"/>
        <v>1</v>
      </c>
      <c r="N21" s="61" t="b">
        <f t="shared" si="9"/>
        <v>1</v>
      </c>
      <c r="O21" s="61" t="b">
        <f t="shared" si="35"/>
        <v>1</v>
      </c>
      <c r="P21" s="80">
        <v>1.0</v>
      </c>
      <c r="Q21" s="80">
        <v>1.0</v>
      </c>
      <c r="R21" s="80">
        <v>1.0</v>
      </c>
      <c r="S21" s="61" t="b">
        <f t="shared" si="11"/>
        <v>1</v>
      </c>
      <c r="T21" s="80">
        <v>1.0</v>
      </c>
      <c r="U21" s="80">
        <v>1.0</v>
      </c>
      <c r="V21" s="80">
        <v>1.0</v>
      </c>
      <c r="X21" s="61" t="str">
        <f t="shared" si="30"/>
        <v/>
      </c>
      <c r="Y21" s="61" t="str">
        <f t="shared" si="12"/>
        <v/>
      </c>
      <c r="Z21" s="114" t="s">
        <v>488</v>
      </c>
      <c r="AA21" s="80" t="s">
        <v>266</v>
      </c>
      <c r="AC21" s="61">
        <f>countif('Charts-SLR'!A:A,AA21)</f>
        <v>1</v>
      </c>
      <c r="AD21" s="80" t="s">
        <v>312</v>
      </c>
      <c r="AE21" s="61">
        <f t="shared" si="13"/>
        <v>0</v>
      </c>
      <c r="AF21" s="80">
        <v>2009.0</v>
      </c>
      <c r="AG21" s="80" t="s">
        <v>231</v>
      </c>
      <c r="AH21" s="80">
        <v>8.0</v>
      </c>
      <c r="AI21" s="108">
        <f t="shared" si="14"/>
        <v>2.666666667</v>
      </c>
      <c r="AJ21" s="61">
        <f t="shared" si="15"/>
        <v>8</v>
      </c>
      <c r="AK21" s="61" t="str">
        <f t="shared" si="16"/>
        <v/>
      </c>
      <c r="AL21" s="61" t="str">
        <f t="shared" si="17"/>
        <v/>
      </c>
      <c r="AM21" s="61" t="str">
        <f t="shared" si="18"/>
        <v/>
      </c>
      <c r="AN21" s="61" t="str">
        <f t="shared" si="19"/>
        <v/>
      </c>
      <c r="AO21" s="61" t="str">
        <f t="shared" si="20"/>
        <v/>
      </c>
      <c r="AP21" s="80" t="s">
        <v>217</v>
      </c>
      <c r="AQ21" s="80" t="s">
        <v>217</v>
      </c>
      <c r="AR21" s="80" t="s">
        <v>217</v>
      </c>
      <c r="AV21" s="61">
        <f t="shared" si="21"/>
        <v>3</v>
      </c>
      <c r="AX21" s="80" t="s">
        <v>217</v>
      </c>
      <c r="BD21" s="80" t="s">
        <v>217</v>
      </c>
      <c r="BG21" s="80" t="s">
        <v>217</v>
      </c>
      <c r="BK21" s="80" t="s">
        <v>217</v>
      </c>
      <c r="BN21" s="80" t="s">
        <v>217</v>
      </c>
      <c r="BO21" s="218" t="str">
        <f t="shared" si="34"/>
        <v/>
      </c>
      <c r="BP21" s="61">
        <f t="shared" si="33"/>
        <v>2</v>
      </c>
      <c r="BR21" s="80" t="s">
        <v>217</v>
      </c>
      <c r="BV21" s="80" t="s">
        <v>217</v>
      </c>
      <c r="CK21" s="80">
        <v>1.0</v>
      </c>
      <c r="CM21" s="61">
        <f t="shared" si="22"/>
        <v>1</v>
      </c>
      <c r="CO21" s="80" t="s">
        <v>217</v>
      </c>
      <c r="CP21" s="80" t="s">
        <v>217</v>
      </c>
      <c r="CS21" s="61">
        <f t="shared" si="23"/>
        <v>2</v>
      </c>
      <c r="CT21" s="80" t="s">
        <v>217</v>
      </c>
      <c r="CU21" s="80" t="s">
        <v>217</v>
      </c>
      <c r="CV21" s="61" t="str">
        <f t="shared" si="24"/>
        <v>both</v>
      </c>
      <c r="CW21" s="61" t="str">
        <f t="shared" si="25"/>
        <v/>
      </c>
      <c r="CX21" s="61" t="str">
        <f t="shared" si="26"/>
        <v/>
      </c>
      <c r="DB21" s="80" t="s">
        <v>217</v>
      </c>
      <c r="DG21" s="80" t="s">
        <v>217</v>
      </c>
      <c r="DH21" s="61" t="str">
        <f t="shared" si="27"/>
        <v/>
      </c>
      <c r="DI21" s="80" t="s">
        <v>217</v>
      </c>
      <c r="DK21" s="61" t="str">
        <f t="shared" si="28"/>
        <v/>
      </c>
      <c r="DL21" s="61" t="str">
        <f t="shared" si="29"/>
        <v/>
      </c>
      <c r="DP21" s="80" t="s">
        <v>217</v>
      </c>
      <c r="DX21" s="80" t="s">
        <v>217</v>
      </c>
      <c r="EB21" s="80" t="s">
        <v>493</v>
      </c>
      <c r="ED21" s="80">
        <v>4.0</v>
      </c>
      <c r="EE21" s="80" t="s">
        <v>494</v>
      </c>
      <c r="EF21" s="116"/>
      <c r="EG21" s="80" t="s">
        <v>495</v>
      </c>
      <c r="EH21" s="80" t="s">
        <v>217</v>
      </c>
      <c r="EJ21" s="80" t="s">
        <v>217</v>
      </c>
    </row>
    <row r="22" ht="1.5" customHeight="1">
      <c r="A22" s="114" t="s">
        <v>497</v>
      </c>
      <c r="B22" s="113" t="s">
        <v>498</v>
      </c>
      <c r="C22" s="80" t="s">
        <v>209</v>
      </c>
      <c r="D22" s="80" t="s">
        <v>499</v>
      </c>
      <c r="E22" s="73" t="s">
        <v>217</v>
      </c>
      <c r="F22" s="80" t="s">
        <v>210</v>
      </c>
      <c r="G22" s="80" t="s">
        <v>211</v>
      </c>
      <c r="H22" s="61">
        <f t="shared" si="3"/>
        <v>1</v>
      </c>
      <c r="I22" s="61" t="str">
        <f t="shared" si="4"/>
        <v/>
      </c>
      <c r="J22" s="61" t="str">
        <f t="shared" si="5"/>
        <v/>
      </c>
      <c r="K22" s="61" t="str">
        <f t="shared" si="6"/>
        <v/>
      </c>
      <c r="L22" s="61" t="str">
        <f t="shared" si="7"/>
        <v/>
      </c>
      <c r="M22" s="61" t="str">
        <f t="shared" si="8"/>
        <v/>
      </c>
      <c r="N22" s="61" t="b">
        <f t="shared" si="9"/>
        <v>1</v>
      </c>
      <c r="O22" s="61" t="b">
        <f t="shared" si="35"/>
        <v>1</v>
      </c>
      <c r="P22" s="80">
        <v>1.0</v>
      </c>
      <c r="Q22" s="216">
        <v>1.0</v>
      </c>
      <c r="R22" s="216">
        <v>0.0</v>
      </c>
      <c r="S22" s="61" t="b">
        <f t="shared" si="11"/>
        <v>1</v>
      </c>
      <c r="T22" s="80">
        <v>1.0</v>
      </c>
      <c r="U22" s="80">
        <v>1.0</v>
      </c>
      <c r="V22" s="80">
        <v>1.0</v>
      </c>
      <c r="W22" s="80" t="s">
        <v>500</v>
      </c>
      <c r="X22" s="61" t="str">
        <f t="shared" si="30"/>
        <v/>
      </c>
      <c r="Y22" s="61" t="str">
        <f t="shared" si="12"/>
        <v/>
      </c>
      <c r="Z22" s="114" t="s">
        <v>501</v>
      </c>
      <c r="AA22" s="80" t="s">
        <v>266</v>
      </c>
      <c r="AC22" s="61">
        <f>countif('Charts-SLR'!A:A,AA22)</f>
        <v>1</v>
      </c>
      <c r="AD22" s="80" t="s">
        <v>413</v>
      </c>
      <c r="AE22" s="61">
        <f t="shared" si="13"/>
        <v>0</v>
      </c>
      <c r="AF22" s="80">
        <v>2004.0</v>
      </c>
      <c r="AG22" s="80" t="s">
        <v>268</v>
      </c>
      <c r="AH22" s="80">
        <v>88.0</v>
      </c>
      <c r="AI22" s="108">
        <f t="shared" si="14"/>
        <v>11</v>
      </c>
      <c r="AJ22" s="61" t="str">
        <f t="shared" si="15"/>
        <v/>
      </c>
      <c r="AK22" s="61" t="str">
        <f t="shared" si="16"/>
        <v/>
      </c>
      <c r="AL22" s="61" t="str">
        <f t="shared" si="17"/>
        <v/>
      </c>
      <c r="AM22" s="61" t="str">
        <f t="shared" si="18"/>
        <v/>
      </c>
      <c r="AN22" s="61">
        <f t="shared" si="19"/>
        <v>88</v>
      </c>
      <c r="AO22" s="61" t="str">
        <f t="shared" si="20"/>
        <v/>
      </c>
      <c r="AP22" s="80" t="s">
        <v>217</v>
      </c>
      <c r="AV22" s="61">
        <f t="shared" si="21"/>
        <v>1</v>
      </c>
      <c r="AW22" s="80" t="s">
        <v>217</v>
      </c>
      <c r="BF22" s="80" t="s">
        <v>217</v>
      </c>
      <c r="BG22" s="80" t="s">
        <v>217</v>
      </c>
      <c r="BN22" s="80" t="s">
        <v>217</v>
      </c>
      <c r="BO22" s="218" t="str">
        <f t="shared" si="34"/>
        <v/>
      </c>
      <c r="BP22" s="61">
        <f t="shared" si="33"/>
        <v>2</v>
      </c>
      <c r="BS22" s="80" t="s">
        <v>217</v>
      </c>
      <c r="BT22" s="80" t="s">
        <v>217</v>
      </c>
      <c r="CD22" s="80" t="s">
        <v>217</v>
      </c>
      <c r="CM22" s="61">
        <f t="shared" si="22"/>
        <v>1</v>
      </c>
      <c r="CN22" s="80" t="s">
        <v>217</v>
      </c>
      <c r="CS22" s="61">
        <f t="shared" si="23"/>
        <v>1</v>
      </c>
      <c r="CT22" s="80" t="s">
        <v>217</v>
      </c>
      <c r="CU22" s="80" t="s">
        <v>217</v>
      </c>
      <c r="CV22" s="61" t="str">
        <f t="shared" si="24"/>
        <v>both</v>
      </c>
      <c r="CW22" s="61" t="str">
        <f t="shared" si="25"/>
        <v/>
      </c>
      <c r="CX22" s="61" t="str">
        <f t="shared" si="26"/>
        <v/>
      </c>
      <c r="DC22" s="80" t="s">
        <v>217</v>
      </c>
      <c r="DG22" s="80" t="s">
        <v>217</v>
      </c>
      <c r="DH22" s="61" t="str">
        <f t="shared" si="27"/>
        <v/>
      </c>
      <c r="DI22" s="80" t="s">
        <v>217</v>
      </c>
      <c r="DK22" s="61" t="str">
        <f t="shared" si="28"/>
        <v/>
      </c>
      <c r="DL22" s="61" t="str">
        <f t="shared" si="29"/>
        <v/>
      </c>
      <c r="DM22" s="80" t="s">
        <v>217</v>
      </c>
      <c r="DN22" s="80" t="s">
        <v>217</v>
      </c>
      <c r="DO22" s="80" t="s">
        <v>217</v>
      </c>
      <c r="DT22" s="80" t="s">
        <v>217</v>
      </c>
      <c r="EA22" s="80" t="s">
        <v>217</v>
      </c>
      <c r="ED22" s="80">
        <v>1.0</v>
      </c>
      <c r="EE22" s="80" t="s">
        <v>502</v>
      </c>
      <c r="EF22" s="116"/>
      <c r="EG22" s="80" t="s">
        <v>503</v>
      </c>
    </row>
    <row r="23" ht="1.5" customHeight="1">
      <c r="A23" s="80" t="s">
        <v>505</v>
      </c>
      <c r="B23" s="113" t="s">
        <v>506</v>
      </c>
      <c r="C23" s="80" t="s">
        <v>245</v>
      </c>
      <c r="D23" s="80" t="s">
        <v>507</v>
      </c>
      <c r="E23" s="73" t="s">
        <v>217</v>
      </c>
      <c r="F23" s="80" t="s">
        <v>209</v>
      </c>
      <c r="G23" s="80" t="s">
        <v>211</v>
      </c>
      <c r="H23" s="61" t="str">
        <f t="shared" si="3"/>
        <v/>
      </c>
      <c r="I23" s="61" t="str">
        <f t="shared" si="4"/>
        <v/>
      </c>
      <c r="J23" s="61" t="str">
        <f t="shared" si="5"/>
        <v/>
      </c>
      <c r="K23" s="61" t="str">
        <f t="shared" si="6"/>
        <v/>
      </c>
      <c r="L23" s="61" t="str">
        <f t="shared" si="7"/>
        <v/>
      </c>
      <c r="M23" s="61">
        <f t="shared" si="8"/>
        <v>1</v>
      </c>
      <c r="N23" s="61" t="b">
        <f t="shared" si="9"/>
        <v>1</v>
      </c>
      <c r="O23" s="61" t="b">
        <f t="shared" si="35"/>
        <v>1</v>
      </c>
      <c r="P23" s="80">
        <v>1.0</v>
      </c>
      <c r="Q23" s="80">
        <v>1.0</v>
      </c>
      <c r="R23" s="80">
        <v>1.0</v>
      </c>
      <c r="S23" s="61" t="b">
        <f t="shared" si="11"/>
        <v>1</v>
      </c>
      <c r="T23" s="80">
        <v>1.0</v>
      </c>
      <c r="U23" s="80">
        <v>1.0</v>
      </c>
      <c r="V23" s="80">
        <v>1.0</v>
      </c>
      <c r="X23" s="61" t="str">
        <f t="shared" si="30"/>
        <v/>
      </c>
      <c r="Y23" s="61" t="str">
        <f t="shared" si="12"/>
        <v/>
      </c>
      <c r="Z23" s="114" t="s">
        <v>508</v>
      </c>
      <c r="AA23" s="80" t="s">
        <v>266</v>
      </c>
      <c r="AC23" s="61">
        <f>countif('Charts-SLR'!A:A,AA23)</f>
        <v>1</v>
      </c>
      <c r="AD23" s="80" t="s">
        <v>267</v>
      </c>
      <c r="AE23" s="61">
        <f t="shared" si="13"/>
        <v>0</v>
      </c>
      <c r="AF23" s="80">
        <v>2009.0</v>
      </c>
      <c r="AG23" s="80" t="s">
        <v>250</v>
      </c>
      <c r="AH23" s="80">
        <v>7.0</v>
      </c>
      <c r="AI23" s="108">
        <f t="shared" si="14"/>
        <v>2.333333333</v>
      </c>
      <c r="AJ23" s="61" t="str">
        <f t="shared" si="15"/>
        <v/>
      </c>
      <c r="AK23" s="61">
        <f t="shared" si="16"/>
        <v>7</v>
      </c>
      <c r="AL23" s="61" t="str">
        <f t="shared" si="17"/>
        <v/>
      </c>
      <c r="AM23" s="61" t="str">
        <f t="shared" si="18"/>
        <v/>
      </c>
      <c r="AN23" s="61" t="str">
        <f t="shared" si="19"/>
        <v/>
      </c>
      <c r="AO23" s="61" t="str">
        <f t="shared" si="20"/>
        <v/>
      </c>
      <c r="AP23" s="80" t="s">
        <v>217</v>
      </c>
      <c r="AV23" s="61">
        <f t="shared" si="21"/>
        <v>1</v>
      </c>
      <c r="AX23" s="80" t="s">
        <v>217</v>
      </c>
      <c r="BD23" s="80" t="s">
        <v>217</v>
      </c>
      <c r="BE23" s="80" t="s">
        <v>217</v>
      </c>
      <c r="BG23" s="80" t="s">
        <v>217</v>
      </c>
      <c r="BN23" s="80" t="s">
        <v>217</v>
      </c>
      <c r="BO23" s="218" t="str">
        <f t="shared" si="34"/>
        <v/>
      </c>
      <c r="BP23" s="61">
        <f t="shared" si="33"/>
        <v>2</v>
      </c>
      <c r="BR23" s="80" t="s">
        <v>217</v>
      </c>
      <c r="BS23" s="80" t="s">
        <v>217</v>
      </c>
      <c r="BX23" s="80" t="s">
        <v>217</v>
      </c>
      <c r="CK23" s="80" t="s">
        <v>217</v>
      </c>
      <c r="CM23" s="61">
        <f t="shared" si="22"/>
        <v>1</v>
      </c>
      <c r="CN23" s="80" t="s">
        <v>217</v>
      </c>
      <c r="CO23" s="80" t="s">
        <v>217</v>
      </c>
      <c r="CS23" s="61">
        <f t="shared" si="23"/>
        <v>2</v>
      </c>
      <c r="CU23" s="80" t="s">
        <v>217</v>
      </c>
      <c r="CV23" s="61" t="str">
        <f t="shared" si="24"/>
        <v/>
      </c>
      <c r="CW23" s="61" t="str">
        <f t="shared" si="25"/>
        <v/>
      </c>
      <c r="CX23" s="61" t="str">
        <f t="shared" si="26"/>
        <v>FA</v>
      </c>
      <c r="CZ23" s="80" t="s">
        <v>217</v>
      </c>
      <c r="DC23" s="80" t="s">
        <v>217</v>
      </c>
      <c r="DG23" s="80" t="s">
        <v>217</v>
      </c>
      <c r="DH23" s="61" t="str">
        <f t="shared" si="27"/>
        <v/>
      </c>
      <c r="DI23" s="80" t="s">
        <v>217</v>
      </c>
      <c r="DK23" s="61" t="str">
        <f t="shared" si="28"/>
        <v/>
      </c>
      <c r="DL23" s="61" t="str">
        <f t="shared" si="29"/>
        <v/>
      </c>
      <c r="DM23" s="80" t="s">
        <v>217</v>
      </c>
      <c r="DT23" s="80" t="s">
        <v>217</v>
      </c>
      <c r="ED23" s="80">
        <v>2.0</v>
      </c>
      <c r="EE23" s="80" t="s">
        <v>512</v>
      </c>
      <c r="EF23" s="116"/>
      <c r="EG23" s="80" t="s">
        <v>513</v>
      </c>
      <c r="EI23" s="80" t="s">
        <v>217</v>
      </c>
    </row>
    <row r="24" ht="1.5" customHeight="1">
      <c r="A24" s="80" t="s">
        <v>515</v>
      </c>
      <c r="B24" s="113" t="s">
        <v>516</v>
      </c>
      <c r="C24" s="80" t="s">
        <v>209</v>
      </c>
      <c r="D24" s="80" t="s">
        <v>517</v>
      </c>
      <c r="E24" s="73" t="s">
        <v>217</v>
      </c>
      <c r="F24" s="80" t="s">
        <v>245</v>
      </c>
      <c r="G24" s="80" t="s">
        <v>211</v>
      </c>
      <c r="H24" s="61" t="str">
        <f t="shared" si="3"/>
        <v/>
      </c>
      <c r="I24" s="61">
        <f t="shared" si="4"/>
        <v>1</v>
      </c>
      <c r="J24" s="61" t="str">
        <f t="shared" si="5"/>
        <v/>
      </c>
      <c r="K24" s="61" t="str">
        <f t="shared" si="6"/>
        <v/>
      </c>
      <c r="L24" s="61" t="str">
        <f t="shared" si="7"/>
        <v/>
      </c>
      <c r="M24" s="61" t="str">
        <f t="shared" si="8"/>
        <v/>
      </c>
      <c r="N24" s="61" t="b">
        <f t="shared" si="9"/>
        <v>1</v>
      </c>
      <c r="O24" s="61" t="b">
        <f t="shared" si="35"/>
        <v>1</v>
      </c>
      <c r="P24" s="80">
        <v>1.0</v>
      </c>
      <c r="Q24" s="80">
        <v>1.0</v>
      </c>
      <c r="R24" s="80">
        <v>1.0</v>
      </c>
      <c r="S24" s="61" t="b">
        <f t="shared" si="11"/>
        <v>1</v>
      </c>
      <c r="T24" s="80">
        <v>0.0</v>
      </c>
      <c r="U24" s="80">
        <v>1.0</v>
      </c>
      <c r="V24" s="80">
        <v>1.0</v>
      </c>
      <c r="X24" s="61" t="str">
        <f t="shared" si="30"/>
        <v>Sampath:icsm04, </v>
      </c>
      <c r="Y24" s="61" t="str">
        <f t="shared" si="12"/>
        <v/>
      </c>
      <c r="Z24" s="80" t="s">
        <v>518</v>
      </c>
      <c r="AA24" s="80" t="s">
        <v>266</v>
      </c>
      <c r="AC24" s="61">
        <f>countif('Charts-SLR'!A:A,AA24)</f>
        <v>1</v>
      </c>
      <c r="AD24" s="80" t="s">
        <v>334</v>
      </c>
      <c r="AE24" s="61">
        <f t="shared" si="13"/>
        <v>0</v>
      </c>
      <c r="AF24" s="80">
        <v>2004.0</v>
      </c>
      <c r="AG24" s="80" t="s">
        <v>250</v>
      </c>
      <c r="AH24" s="80">
        <v>24.0</v>
      </c>
      <c r="AI24" s="108">
        <f t="shared" si="14"/>
        <v>3</v>
      </c>
      <c r="AJ24" s="61" t="str">
        <f t="shared" si="15"/>
        <v/>
      </c>
      <c r="AK24" s="61">
        <f t="shared" si="16"/>
        <v>24</v>
      </c>
      <c r="AL24" s="61" t="str">
        <f t="shared" si="17"/>
        <v/>
      </c>
      <c r="AM24" s="61" t="str">
        <f t="shared" si="18"/>
        <v/>
      </c>
      <c r="AN24" s="61" t="str">
        <f t="shared" si="19"/>
        <v/>
      </c>
      <c r="AO24" s="61" t="str">
        <f t="shared" si="20"/>
        <v/>
      </c>
      <c r="AP24" s="80" t="s">
        <v>217</v>
      </c>
      <c r="AQ24" s="80" t="s">
        <v>217</v>
      </c>
      <c r="AR24" s="80" t="s">
        <v>217</v>
      </c>
      <c r="AT24" s="80" t="s">
        <v>217</v>
      </c>
      <c r="AV24" s="61">
        <f t="shared" si="21"/>
        <v>4</v>
      </c>
      <c r="AW24" s="80" t="s">
        <v>217</v>
      </c>
      <c r="BD24" s="80" t="s">
        <v>217</v>
      </c>
      <c r="BG24" s="80" t="s">
        <v>217</v>
      </c>
      <c r="BI24" s="80" t="s">
        <v>217</v>
      </c>
      <c r="BJ24" s="80" t="s">
        <v>217</v>
      </c>
      <c r="BK24" s="80" t="s">
        <v>217</v>
      </c>
      <c r="BN24" s="80" t="s">
        <v>217</v>
      </c>
      <c r="BO24" s="218" t="str">
        <f t="shared" si="34"/>
        <v/>
      </c>
      <c r="BP24" s="61">
        <f t="shared" si="33"/>
        <v>2</v>
      </c>
      <c r="BS24" s="80" t="s">
        <v>217</v>
      </c>
      <c r="BT24" s="80" t="s">
        <v>217</v>
      </c>
      <c r="BX24" s="80" t="s">
        <v>217</v>
      </c>
      <c r="CJ24" s="80" t="s">
        <v>217</v>
      </c>
      <c r="CL24" s="80" t="s">
        <v>217</v>
      </c>
      <c r="CM24" s="61">
        <f t="shared" si="22"/>
        <v>2</v>
      </c>
      <c r="CN24" s="80" t="s">
        <v>217</v>
      </c>
      <c r="CP24" s="80" t="s">
        <v>217</v>
      </c>
      <c r="CS24" s="61">
        <f t="shared" si="23"/>
        <v>2</v>
      </c>
      <c r="CU24" s="80" t="s">
        <v>217</v>
      </c>
      <c r="CV24" s="61" t="str">
        <f t="shared" si="24"/>
        <v/>
      </c>
      <c r="CW24" s="61" t="str">
        <f t="shared" si="25"/>
        <v/>
      </c>
      <c r="CX24" s="61" t="str">
        <f t="shared" si="26"/>
        <v>FA</v>
      </c>
      <c r="CZ24" s="80" t="s">
        <v>217</v>
      </c>
      <c r="DG24" s="80" t="s">
        <v>217</v>
      </c>
      <c r="DH24" s="61" t="str">
        <f t="shared" si="27"/>
        <v/>
      </c>
      <c r="DI24" s="80" t="s">
        <v>217</v>
      </c>
      <c r="DK24" s="61" t="str">
        <f t="shared" si="28"/>
        <v/>
      </c>
      <c r="DL24" s="61" t="str">
        <f t="shared" si="29"/>
        <v/>
      </c>
      <c r="DP24" s="80" t="s">
        <v>217</v>
      </c>
      <c r="DT24" s="80" t="s">
        <v>217</v>
      </c>
      <c r="EB24" s="80" t="s">
        <v>313</v>
      </c>
      <c r="EF24" s="112">
        <v>9748.0</v>
      </c>
      <c r="EG24" s="80" t="s">
        <v>520</v>
      </c>
      <c r="EI24" s="80" t="s">
        <v>217</v>
      </c>
    </row>
    <row r="25" ht="1.5" customHeight="1">
      <c r="A25" s="80" t="s">
        <v>522</v>
      </c>
      <c r="B25" s="113" t="s">
        <v>523</v>
      </c>
      <c r="C25" s="80" t="s">
        <v>209</v>
      </c>
      <c r="D25" s="80" t="s">
        <v>524</v>
      </c>
      <c r="E25" s="73" t="s">
        <v>217</v>
      </c>
      <c r="F25" s="80" t="s">
        <v>245</v>
      </c>
      <c r="G25" s="80" t="s">
        <v>227</v>
      </c>
      <c r="H25" s="61" t="str">
        <f t="shared" si="3"/>
        <v/>
      </c>
      <c r="I25" s="61">
        <f t="shared" si="4"/>
        <v>1</v>
      </c>
      <c r="J25" s="61" t="str">
        <f t="shared" si="5"/>
        <v/>
      </c>
      <c r="K25" s="61" t="str">
        <f t="shared" si="6"/>
        <v/>
      </c>
      <c r="L25" s="61" t="str">
        <f t="shared" si="7"/>
        <v/>
      </c>
      <c r="M25" s="61" t="str">
        <f t="shared" si="8"/>
        <v/>
      </c>
      <c r="N25" s="61" t="b">
        <f t="shared" si="9"/>
        <v>1</v>
      </c>
      <c r="O25" s="61" t="b">
        <f t="shared" si="35"/>
        <v>1</v>
      </c>
      <c r="P25" s="80">
        <v>1.0</v>
      </c>
      <c r="Q25" s="80">
        <v>1.0</v>
      </c>
      <c r="R25" s="80">
        <v>1.0</v>
      </c>
      <c r="S25" s="61" t="b">
        <f t="shared" si="11"/>
        <v>1</v>
      </c>
      <c r="T25" s="80">
        <v>1.0</v>
      </c>
      <c r="U25" s="80">
        <v>1.0</v>
      </c>
      <c r="V25" s="80">
        <v>1.0</v>
      </c>
      <c r="X25" s="61" t="str">
        <f t="shared" si="30"/>
        <v/>
      </c>
      <c r="Y25" s="61" t="str">
        <f t="shared" si="12"/>
        <v/>
      </c>
      <c r="Z25" s="114" t="s">
        <v>525</v>
      </c>
      <c r="AA25" s="80" t="s">
        <v>266</v>
      </c>
      <c r="AC25" s="61">
        <f>countif('Charts-SLR'!A:A,AA25)</f>
        <v>1</v>
      </c>
      <c r="AD25" s="80" t="s">
        <v>526</v>
      </c>
      <c r="AE25" s="61">
        <f t="shared" si="13"/>
        <v>0</v>
      </c>
      <c r="AF25" s="80">
        <v>2002.0</v>
      </c>
      <c r="AG25" s="80" t="s">
        <v>231</v>
      </c>
      <c r="AH25" s="80">
        <v>28.0</v>
      </c>
      <c r="AI25" s="108">
        <f t="shared" si="14"/>
        <v>2.8</v>
      </c>
      <c r="AJ25" s="61">
        <f t="shared" si="15"/>
        <v>28</v>
      </c>
      <c r="AK25" s="61" t="str">
        <f t="shared" si="16"/>
        <v/>
      </c>
      <c r="AL25" s="61" t="str">
        <f t="shared" si="17"/>
        <v/>
      </c>
      <c r="AM25" s="61" t="str">
        <f t="shared" si="18"/>
        <v/>
      </c>
      <c r="AN25" s="61" t="str">
        <f t="shared" si="19"/>
        <v/>
      </c>
      <c r="AO25" s="61" t="str">
        <f t="shared" si="20"/>
        <v/>
      </c>
      <c r="AP25" s="80" t="s">
        <v>217</v>
      </c>
      <c r="AQ25" s="80" t="s">
        <v>217</v>
      </c>
      <c r="AR25" s="80" t="s">
        <v>217</v>
      </c>
      <c r="AV25" s="61">
        <f t="shared" si="21"/>
        <v>3</v>
      </c>
      <c r="AW25" s="80" t="s">
        <v>217</v>
      </c>
      <c r="BD25" s="80" t="s">
        <v>217</v>
      </c>
      <c r="BG25" s="80" t="s">
        <v>217</v>
      </c>
      <c r="BI25" s="80" t="s">
        <v>217</v>
      </c>
      <c r="BJ25" s="80" t="s">
        <v>217</v>
      </c>
      <c r="BK25" s="80" t="s">
        <v>217</v>
      </c>
      <c r="BO25" s="216" t="s">
        <v>217</v>
      </c>
      <c r="BP25" s="61">
        <f t="shared" si="33"/>
        <v>3</v>
      </c>
      <c r="BS25" s="80" t="s">
        <v>217</v>
      </c>
      <c r="BT25" s="80" t="s">
        <v>217</v>
      </c>
      <c r="CE25" s="80" t="s">
        <v>217</v>
      </c>
      <c r="CJ25" s="80" t="s">
        <v>217</v>
      </c>
      <c r="CM25" s="61">
        <f t="shared" si="22"/>
        <v>2</v>
      </c>
      <c r="CN25" s="80" t="s">
        <v>217</v>
      </c>
      <c r="CP25" s="80" t="s">
        <v>217</v>
      </c>
      <c r="CQ25" s="80" t="s">
        <v>217</v>
      </c>
      <c r="CS25" s="61">
        <f t="shared" si="23"/>
        <v>3</v>
      </c>
      <c r="CU25" s="80" t="s">
        <v>217</v>
      </c>
      <c r="CV25" s="61" t="str">
        <f t="shared" si="24"/>
        <v/>
      </c>
      <c r="CW25" s="61" t="str">
        <f t="shared" si="25"/>
        <v/>
      </c>
      <c r="CX25" s="61" t="str">
        <f t="shared" si="26"/>
        <v>FA</v>
      </c>
      <c r="DG25" s="80" t="s">
        <v>217</v>
      </c>
      <c r="DH25" s="61" t="str">
        <f t="shared" si="27"/>
        <v/>
      </c>
      <c r="DI25" s="80" t="s">
        <v>217</v>
      </c>
      <c r="DK25" s="61" t="str">
        <f t="shared" si="28"/>
        <v/>
      </c>
      <c r="DL25" s="61" t="str">
        <f t="shared" si="29"/>
        <v/>
      </c>
      <c r="DM25" s="80" t="s">
        <v>217</v>
      </c>
      <c r="DO25" s="80" t="s">
        <v>217</v>
      </c>
      <c r="DT25" s="80" t="s">
        <v>217</v>
      </c>
      <c r="DU25" s="80" t="s">
        <v>1100</v>
      </c>
      <c r="EA25" s="80" t="s">
        <v>1382</v>
      </c>
      <c r="EF25" s="116"/>
    </row>
    <row r="26" ht="1.5" customHeight="1">
      <c r="A26" s="80" t="s">
        <v>530</v>
      </c>
      <c r="B26" s="113" t="s">
        <v>531</v>
      </c>
      <c r="C26" s="80" t="s">
        <v>209</v>
      </c>
      <c r="D26" s="80" t="s">
        <v>532</v>
      </c>
      <c r="E26" s="73" t="s">
        <v>217</v>
      </c>
      <c r="F26" s="80" t="s">
        <v>245</v>
      </c>
      <c r="G26" s="80" t="s">
        <v>227</v>
      </c>
      <c r="H26" s="61" t="str">
        <f t="shared" si="3"/>
        <v/>
      </c>
      <c r="I26" s="61">
        <f t="shared" si="4"/>
        <v>1</v>
      </c>
      <c r="J26" s="61" t="str">
        <f t="shared" si="5"/>
        <v/>
      </c>
      <c r="K26" s="61" t="str">
        <f t="shared" si="6"/>
        <v/>
      </c>
      <c r="L26" s="61" t="str">
        <f t="shared" si="7"/>
        <v/>
      </c>
      <c r="M26" s="61" t="str">
        <f t="shared" si="8"/>
        <v/>
      </c>
      <c r="N26" s="61" t="b">
        <f t="shared" si="9"/>
        <v>1</v>
      </c>
      <c r="O26" s="61" t="b">
        <f t="shared" si="35"/>
        <v>1</v>
      </c>
      <c r="P26" s="80">
        <v>1.0</v>
      </c>
      <c r="Q26" s="80">
        <v>1.0</v>
      </c>
      <c r="R26" s="80">
        <v>1.0</v>
      </c>
      <c r="S26" s="61" t="b">
        <f t="shared" si="11"/>
        <v>1</v>
      </c>
      <c r="T26" s="80">
        <v>0.0</v>
      </c>
      <c r="U26" s="80">
        <v>1.0</v>
      </c>
      <c r="V26" s="80">
        <v>1.0</v>
      </c>
      <c r="W26" s="80" t="s">
        <v>533</v>
      </c>
      <c r="X26" s="61" t="str">
        <f t="shared" si="30"/>
        <v/>
      </c>
      <c r="Y26" s="61" t="str">
        <f t="shared" si="12"/>
        <v/>
      </c>
      <c r="Z26" s="114" t="s">
        <v>348</v>
      </c>
      <c r="AA26" s="80" t="s">
        <v>214</v>
      </c>
      <c r="AC26" s="61">
        <f>countif('Charts-SLR'!A:A,AA26)</f>
        <v>1</v>
      </c>
      <c r="AD26" s="80" t="s">
        <v>534</v>
      </c>
      <c r="AE26" s="61">
        <f t="shared" si="13"/>
        <v>0</v>
      </c>
      <c r="AF26" s="80">
        <v>2002.0</v>
      </c>
      <c r="AG26" s="80" t="s">
        <v>216</v>
      </c>
      <c r="AH26" s="80">
        <v>24.0</v>
      </c>
      <c r="AI26" s="108">
        <f t="shared" si="14"/>
        <v>2.4</v>
      </c>
      <c r="AJ26" s="61" t="str">
        <f t="shared" si="15"/>
        <v/>
      </c>
      <c r="AK26" s="61" t="str">
        <f t="shared" si="16"/>
        <v/>
      </c>
      <c r="AL26" s="61">
        <f t="shared" si="17"/>
        <v>24</v>
      </c>
      <c r="AM26" s="61" t="str">
        <f t="shared" si="18"/>
        <v/>
      </c>
      <c r="AN26" s="61" t="str">
        <f t="shared" si="19"/>
        <v/>
      </c>
      <c r="AO26" s="61" t="str">
        <f t="shared" si="20"/>
        <v/>
      </c>
      <c r="AP26" s="80" t="s">
        <v>217</v>
      </c>
      <c r="AV26" s="61">
        <f t="shared" si="21"/>
        <v>1</v>
      </c>
      <c r="AW26" s="80" t="s">
        <v>217</v>
      </c>
      <c r="BE26" s="80" t="s">
        <v>217</v>
      </c>
      <c r="BF26" s="80" t="s">
        <v>217</v>
      </c>
      <c r="BL26" s="80" t="s">
        <v>217</v>
      </c>
      <c r="BO26" s="216" t="s">
        <v>217</v>
      </c>
      <c r="BP26" s="61">
        <f t="shared" si="33"/>
        <v>3</v>
      </c>
      <c r="BT26" s="80" t="s">
        <v>217</v>
      </c>
      <c r="CD26" s="80" t="s">
        <v>217</v>
      </c>
      <c r="CM26" s="61">
        <f t="shared" si="22"/>
        <v>1</v>
      </c>
      <c r="CR26" s="80" t="s">
        <v>217</v>
      </c>
      <c r="CS26" s="61">
        <f t="shared" si="23"/>
        <v>1</v>
      </c>
      <c r="CU26" s="80" t="s">
        <v>217</v>
      </c>
      <c r="CV26" s="61" t="str">
        <f t="shared" si="24"/>
        <v/>
      </c>
      <c r="CW26" s="61" t="str">
        <f t="shared" si="25"/>
        <v/>
      </c>
      <c r="CX26" s="61" t="str">
        <f t="shared" si="26"/>
        <v>FA</v>
      </c>
      <c r="DA26" s="80" t="s">
        <v>217</v>
      </c>
      <c r="DG26" s="80" t="s">
        <v>217</v>
      </c>
      <c r="DH26" s="61" t="str">
        <f t="shared" si="27"/>
        <v/>
      </c>
      <c r="DI26" s="80" t="s">
        <v>217</v>
      </c>
      <c r="DK26" s="61" t="str">
        <f t="shared" si="28"/>
        <v/>
      </c>
      <c r="DL26" s="61" t="str">
        <f t="shared" si="29"/>
        <v/>
      </c>
      <c r="DO26" s="80" t="s">
        <v>217</v>
      </c>
      <c r="DS26" s="80" t="s">
        <v>217</v>
      </c>
      <c r="ED26" s="80">
        <v>1.0</v>
      </c>
      <c r="EE26" s="80" t="s">
        <v>536</v>
      </c>
      <c r="EF26" s="112">
        <v>257.0</v>
      </c>
      <c r="EG26" s="219">
        <v>5.0</v>
      </c>
      <c r="EH26" s="80" t="s">
        <v>217</v>
      </c>
      <c r="EK26" s="80" t="s">
        <v>217</v>
      </c>
    </row>
    <row r="27" ht="1.5" customHeight="1">
      <c r="A27" s="80" t="s">
        <v>1383</v>
      </c>
      <c r="B27" s="113" t="s">
        <v>1384</v>
      </c>
      <c r="C27" s="80" t="s">
        <v>209</v>
      </c>
      <c r="D27" s="80" t="s">
        <v>1385</v>
      </c>
      <c r="E27" s="73" t="s">
        <v>217</v>
      </c>
      <c r="F27" s="80" t="s">
        <v>245</v>
      </c>
      <c r="G27" s="80" t="s">
        <v>227</v>
      </c>
      <c r="H27" s="61" t="str">
        <f t="shared" si="3"/>
        <v/>
      </c>
      <c r="I27" s="61">
        <f t="shared" si="4"/>
        <v>1</v>
      </c>
      <c r="J27" s="61" t="str">
        <f t="shared" si="5"/>
        <v/>
      </c>
      <c r="K27" s="61" t="str">
        <f t="shared" si="6"/>
        <v/>
      </c>
      <c r="L27" s="61" t="str">
        <f t="shared" si="7"/>
        <v/>
      </c>
      <c r="M27" s="61" t="str">
        <f t="shared" si="8"/>
        <v/>
      </c>
      <c r="N27" s="61" t="b">
        <f t="shared" si="9"/>
        <v>1</v>
      </c>
      <c r="O27" s="61" t="b">
        <f t="shared" si="35"/>
        <v>1</v>
      </c>
      <c r="P27" s="80">
        <v>1.0</v>
      </c>
      <c r="Q27" s="80">
        <v>1.0</v>
      </c>
      <c r="R27" s="80">
        <v>1.0</v>
      </c>
      <c r="S27" s="61" t="b">
        <f t="shared" si="11"/>
        <v>1</v>
      </c>
      <c r="T27" s="80">
        <v>1.0</v>
      </c>
      <c r="U27" s="80">
        <v>1.0</v>
      </c>
      <c r="V27" s="80">
        <v>1.0</v>
      </c>
      <c r="X27" s="61" t="str">
        <f t="shared" si="30"/>
        <v/>
      </c>
      <c r="Y27" s="61" t="str">
        <f t="shared" si="12"/>
        <v/>
      </c>
      <c r="Z27" s="114" t="s">
        <v>1386</v>
      </c>
      <c r="AA27" s="80" t="s">
        <v>464</v>
      </c>
      <c r="AC27" s="61">
        <f>countif('Charts-SLR'!A:A,AA27)</f>
        <v>1</v>
      </c>
      <c r="AD27" s="80" t="s">
        <v>1387</v>
      </c>
      <c r="AE27" s="61">
        <f t="shared" si="13"/>
        <v>0</v>
      </c>
      <c r="AF27" s="80">
        <v>2009.0</v>
      </c>
      <c r="AG27" s="80" t="s">
        <v>231</v>
      </c>
      <c r="AH27" s="80">
        <v>9.0</v>
      </c>
      <c r="AI27" s="108">
        <f t="shared" si="14"/>
        <v>3</v>
      </c>
      <c r="AJ27" s="61">
        <f t="shared" si="15"/>
        <v>9</v>
      </c>
      <c r="AK27" s="61" t="str">
        <f t="shared" si="16"/>
        <v/>
      </c>
      <c r="AL27" s="61" t="str">
        <f t="shared" si="17"/>
        <v/>
      </c>
      <c r="AM27" s="61" t="str">
        <f t="shared" si="18"/>
        <v/>
      </c>
      <c r="AN27" s="61" t="str">
        <f t="shared" si="19"/>
        <v/>
      </c>
      <c r="AO27" s="61" t="str">
        <f t="shared" si="20"/>
        <v/>
      </c>
      <c r="AR27" s="80" t="s">
        <v>217</v>
      </c>
      <c r="AV27" s="61">
        <f t="shared" si="21"/>
        <v>1</v>
      </c>
      <c r="AX27" s="80" t="s">
        <v>217</v>
      </c>
      <c r="BD27" s="80" t="s">
        <v>217</v>
      </c>
      <c r="BG27" s="80" t="s">
        <v>217</v>
      </c>
      <c r="BM27" s="80" t="s">
        <v>217</v>
      </c>
      <c r="BO27" s="218" t="str">
        <f>if(and(BM27="x",BN27="x"), "x", "")</f>
        <v/>
      </c>
      <c r="BP27" s="61">
        <f t="shared" si="33"/>
        <v>1</v>
      </c>
      <c r="BQ27" s="80" t="s">
        <v>217</v>
      </c>
      <c r="CL27" s="80" t="s">
        <v>217</v>
      </c>
      <c r="CM27" s="61">
        <f t="shared" si="22"/>
        <v>1</v>
      </c>
      <c r="CN27" s="80" t="s">
        <v>217</v>
      </c>
      <c r="CS27" s="61">
        <f t="shared" si="23"/>
        <v>1</v>
      </c>
      <c r="CT27" s="80" t="s">
        <v>217</v>
      </c>
      <c r="CV27" s="61" t="str">
        <f t="shared" si="24"/>
        <v/>
      </c>
      <c r="CW27" s="61" t="str">
        <f t="shared" si="25"/>
        <v>FM</v>
      </c>
      <c r="CX27" s="61" t="str">
        <f t="shared" si="26"/>
        <v/>
      </c>
      <c r="DG27" s="80" t="s">
        <v>217</v>
      </c>
      <c r="DH27" s="61" t="str">
        <f t="shared" si="27"/>
        <v/>
      </c>
      <c r="DI27" s="80" t="s">
        <v>217</v>
      </c>
      <c r="DK27" s="61" t="str">
        <f t="shared" si="28"/>
        <v/>
      </c>
      <c r="DL27" s="61" t="str">
        <f t="shared" si="29"/>
        <v/>
      </c>
      <c r="DM27" s="80" t="s">
        <v>217</v>
      </c>
      <c r="DO27" s="80" t="s">
        <v>217</v>
      </c>
      <c r="DR27" s="80" t="s">
        <v>217</v>
      </c>
      <c r="EF27" s="116"/>
    </row>
    <row r="28" ht="1.5" customHeight="1">
      <c r="A28" s="80" t="s">
        <v>1388</v>
      </c>
      <c r="B28" s="113" t="s">
        <v>1389</v>
      </c>
      <c r="C28" s="80" t="s">
        <v>210</v>
      </c>
      <c r="D28" s="80" t="s">
        <v>1390</v>
      </c>
      <c r="E28" s="73" t="s">
        <v>217</v>
      </c>
      <c r="F28" s="80" t="s">
        <v>209</v>
      </c>
      <c r="G28" s="80" t="s">
        <v>211</v>
      </c>
      <c r="H28" s="61" t="str">
        <f t="shared" si="3"/>
        <v/>
      </c>
      <c r="I28" s="61" t="str">
        <f t="shared" si="4"/>
        <v/>
      </c>
      <c r="J28" s="61">
        <f t="shared" si="5"/>
        <v>1</v>
      </c>
      <c r="K28" s="61" t="str">
        <f t="shared" si="6"/>
        <v/>
      </c>
      <c r="L28" s="61" t="str">
        <f t="shared" si="7"/>
        <v/>
      </c>
      <c r="M28" s="61" t="str">
        <f t="shared" si="8"/>
        <v/>
      </c>
      <c r="N28" s="61" t="b">
        <f t="shared" si="9"/>
        <v>1</v>
      </c>
      <c r="O28" s="61" t="b">
        <f t="shared" si="35"/>
        <v>1</v>
      </c>
      <c r="P28" s="80">
        <v>1.0</v>
      </c>
      <c r="Q28" s="80">
        <v>1.0</v>
      </c>
      <c r="R28" s="80">
        <v>1.0</v>
      </c>
      <c r="S28" s="61" t="b">
        <f t="shared" si="11"/>
        <v>1</v>
      </c>
      <c r="T28" s="80">
        <v>1.0</v>
      </c>
      <c r="U28" s="80">
        <v>1.0</v>
      </c>
      <c r="V28" s="80">
        <v>1.0</v>
      </c>
      <c r="W28" s="80" t="s">
        <v>1391</v>
      </c>
      <c r="X28" s="61" t="str">
        <f t="shared" si="30"/>
        <v/>
      </c>
      <c r="Y28" s="61" t="str">
        <f t="shared" si="12"/>
        <v/>
      </c>
      <c r="Z28" s="114" t="s">
        <v>1392</v>
      </c>
      <c r="AA28" s="80" t="s">
        <v>555</v>
      </c>
      <c r="AB28" s="80" t="s">
        <v>217</v>
      </c>
      <c r="AC28" s="80">
        <v>1.0</v>
      </c>
      <c r="AD28" s="80" t="s">
        <v>475</v>
      </c>
      <c r="AE28" s="61">
        <f t="shared" si="13"/>
        <v>0</v>
      </c>
      <c r="AF28" s="80">
        <v>2011.0</v>
      </c>
      <c r="AG28" s="80" t="s">
        <v>231</v>
      </c>
      <c r="AH28" s="80">
        <v>1.0</v>
      </c>
      <c r="AI28" s="108">
        <f t="shared" si="14"/>
        <v>1</v>
      </c>
      <c r="AJ28" s="61">
        <f t="shared" si="15"/>
        <v>1</v>
      </c>
      <c r="AK28" s="61" t="str">
        <f t="shared" si="16"/>
        <v/>
      </c>
      <c r="AL28" s="61" t="str">
        <f t="shared" si="17"/>
        <v/>
      </c>
      <c r="AM28" s="61" t="str">
        <f t="shared" si="18"/>
        <v/>
      </c>
      <c r="AN28" s="61" t="str">
        <f t="shared" si="19"/>
        <v/>
      </c>
      <c r="AO28" s="61" t="str">
        <f t="shared" si="20"/>
        <v/>
      </c>
      <c r="AS28" s="80" t="s">
        <v>217</v>
      </c>
      <c r="AV28" s="61">
        <f t="shared" si="21"/>
        <v>1</v>
      </c>
      <c r="AX28" s="80" t="s">
        <v>217</v>
      </c>
      <c r="BD28" s="80" t="s">
        <v>217</v>
      </c>
      <c r="BG28" s="80" t="s">
        <v>217</v>
      </c>
      <c r="BI28" s="80" t="s">
        <v>217</v>
      </c>
      <c r="BJ28" s="80" t="s">
        <v>217</v>
      </c>
      <c r="BO28" s="216" t="s">
        <v>217</v>
      </c>
      <c r="BP28" s="61">
        <f t="shared" si="33"/>
        <v>3</v>
      </c>
      <c r="BQ28" s="80" t="s">
        <v>217</v>
      </c>
      <c r="BS28" s="80" t="s">
        <v>217</v>
      </c>
      <c r="BT28" s="80" t="s">
        <v>217</v>
      </c>
      <c r="CF28" s="80" t="s">
        <v>217</v>
      </c>
      <c r="CM28" s="61">
        <f t="shared" si="22"/>
        <v>1</v>
      </c>
      <c r="CN28" s="80" t="s">
        <v>217</v>
      </c>
      <c r="CS28" s="61">
        <f t="shared" si="23"/>
        <v>1</v>
      </c>
      <c r="CU28" s="80" t="s">
        <v>217</v>
      </c>
      <c r="CV28" s="61" t="str">
        <f t="shared" si="24"/>
        <v/>
      </c>
      <c r="CW28" s="61" t="str">
        <f t="shared" si="25"/>
        <v/>
      </c>
      <c r="CX28" s="61" t="str">
        <f t="shared" si="26"/>
        <v>FA</v>
      </c>
      <c r="DA28" s="80" t="s">
        <v>217</v>
      </c>
      <c r="DG28" s="80" t="s">
        <v>217</v>
      </c>
      <c r="DH28" s="61" t="str">
        <f t="shared" si="27"/>
        <v/>
      </c>
      <c r="DI28" s="80" t="s">
        <v>217</v>
      </c>
      <c r="DK28" s="61" t="str">
        <f t="shared" si="28"/>
        <v/>
      </c>
      <c r="DL28" s="61" t="str">
        <f t="shared" si="29"/>
        <v/>
      </c>
      <c r="DM28" s="80" t="s">
        <v>217</v>
      </c>
      <c r="DO28" s="80" t="s">
        <v>217</v>
      </c>
      <c r="DS28" s="80" t="s">
        <v>217</v>
      </c>
      <c r="ED28" s="80">
        <v>19.0</v>
      </c>
      <c r="EE28" s="80" t="s">
        <v>1393</v>
      </c>
      <c r="EF28" s="116"/>
      <c r="EG28" s="80" t="s">
        <v>1394</v>
      </c>
      <c r="EI28" s="80" t="s">
        <v>217</v>
      </c>
      <c r="EJ28" s="80" t="s">
        <v>217</v>
      </c>
    </row>
    <row r="29" ht="1.5" customHeight="1">
      <c r="A29" s="80" t="s">
        <v>579</v>
      </c>
      <c r="B29" s="113" t="s">
        <v>580</v>
      </c>
      <c r="C29" s="80" t="s">
        <v>210</v>
      </c>
      <c r="D29" s="80" t="s">
        <v>581</v>
      </c>
      <c r="E29" s="73" t="s">
        <v>217</v>
      </c>
      <c r="F29" s="80" t="s">
        <v>209</v>
      </c>
      <c r="G29" s="80" t="s">
        <v>211</v>
      </c>
      <c r="H29" s="61" t="str">
        <f t="shared" si="3"/>
        <v/>
      </c>
      <c r="I29" s="61" t="str">
        <f t="shared" si="4"/>
        <v/>
      </c>
      <c r="J29" s="61">
        <f t="shared" si="5"/>
        <v>1</v>
      </c>
      <c r="K29" s="61" t="str">
        <f t="shared" si="6"/>
        <v/>
      </c>
      <c r="L29" s="61" t="str">
        <f t="shared" si="7"/>
        <v/>
      </c>
      <c r="M29" s="61" t="str">
        <f t="shared" si="8"/>
        <v/>
      </c>
      <c r="N29" s="61" t="b">
        <f t="shared" si="9"/>
        <v>1</v>
      </c>
      <c r="O29" s="61" t="b">
        <f t="shared" si="35"/>
        <v>1</v>
      </c>
      <c r="P29" s="80">
        <v>1.0</v>
      </c>
      <c r="Q29" s="80">
        <v>1.0</v>
      </c>
      <c r="R29" s="80">
        <v>1.0</v>
      </c>
      <c r="S29" s="61" t="b">
        <f t="shared" si="11"/>
        <v>1</v>
      </c>
      <c r="T29" s="80">
        <v>0.0</v>
      </c>
      <c r="U29" s="80">
        <v>1.0</v>
      </c>
      <c r="V29" s="80">
        <v>1.0</v>
      </c>
      <c r="X29" s="61" t="str">
        <f t="shared" si="30"/>
        <v/>
      </c>
      <c r="Y29" s="61" t="str">
        <f t="shared" si="12"/>
        <v/>
      </c>
      <c r="Z29" s="114" t="s">
        <v>582</v>
      </c>
      <c r="AA29" s="80" t="s">
        <v>583</v>
      </c>
      <c r="AC29" s="61">
        <f>countif('Charts-SLR'!A:A,AA29)</f>
        <v>1</v>
      </c>
      <c r="AD29" s="80" t="s">
        <v>312</v>
      </c>
      <c r="AE29" s="61">
        <f t="shared" si="13"/>
        <v>0</v>
      </c>
      <c r="AF29" s="80">
        <v>2006.0</v>
      </c>
      <c r="AG29" s="80" t="s">
        <v>231</v>
      </c>
      <c r="AH29" s="80">
        <v>7.0</v>
      </c>
      <c r="AI29" s="108">
        <f t="shared" si="14"/>
        <v>1.166666667</v>
      </c>
      <c r="AJ29" s="61">
        <f t="shared" si="15"/>
        <v>7</v>
      </c>
      <c r="AK29" s="61" t="str">
        <f t="shared" si="16"/>
        <v/>
      </c>
      <c r="AL29" s="61" t="str">
        <f t="shared" si="17"/>
        <v/>
      </c>
      <c r="AM29" s="61" t="str">
        <f t="shared" si="18"/>
        <v/>
      </c>
      <c r="AN29" s="61" t="str">
        <f t="shared" si="19"/>
        <v/>
      </c>
      <c r="AO29" s="61" t="str">
        <f t="shared" si="20"/>
        <v/>
      </c>
      <c r="AP29" s="80" t="s">
        <v>217</v>
      </c>
      <c r="AR29" s="80" t="s">
        <v>217</v>
      </c>
      <c r="AV29" s="61">
        <f t="shared" si="21"/>
        <v>2</v>
      </c>
      <c r="AW29" s="80" t="s">
        <v>217</v>
      </c>
      <c r="BD29" s="80" t="s">
        <v>217</v>
      </c>
      <c r="BG29" s="80" t="s">
        <v>217</v>
      </c>
      <c r="BN29" s="80" t="s">
        <v>217</v>
      </c>
      <c r="BO29" s="218" t="str">
        <f t="shared" ref="BO29:BO32" si="36">if(and(BM29="x",BN29="x"), "x", "")</f>
        <v/>
      </c>
      <c r="BP29" s="61">
        <f t="shared" si="33"/>
        <v>2</v>
      </c>
      <c r="BQ29" s="80" t="s">
        <v>217</v>
      </c>
      <c r="BR29" s="80" t="s">
        <v>217</v>
      </c>
      <c r="BT29" s="80" t="s">
        <v>217</v>
      </c>
      <c r="CD29" s="80" t="s">
        <v>217</v>
      </c>
      <c r="CM29" s="61">
        <f t="shared" si="22"/>
        <v>1</v>
      </c>
      <c r="CO29" s="80" t="s">
        <v>217</v>
      </c>
      <c r="CS29" s="61">
        <f t="shared" si="23"/>
        <v>1</v>
      </c>
      <c r="CT29" s="80" t="s">
        <v>217</v>
      </c>
      <c r="CV29" s="61" t="str">
        <f t="shared" si="24"/>
        <v/>
      </c>
      <c r="CW29" s="61" t="str">
        <f t="shared" si="25"/>
        <v>FM</v>
      </c>
      <c r="CX29" s="61" t="str">
        <f t="shared" si="26"/>
        <v/>
      </c>
      <c r="DD29" s="80" t="s">
        <v>217</v>
      </c>
      <c r="DG29" s="80" t="s">
        <v>217</v>
      </c>
      <c r="DH29" s="61" t="str">
        <f t="shared" si="27"/>
        <v/>
      </c>
      <c r="DI29" s="80" t="s">
        <v>217</v>
      </c>
      <c r="DK29" s="61" t="str">
        <f t="shared" si="28"/>
        <v/>
      </c>
      <c r="DL29" s="61" t="str">
        <f t="shared" si="29"/>
        <v/>
      </c>
      <c r="DM29" s="80" t="s">
        <v>217</v>
      </c>
      <c r="DT29" s="80" t="s">
        <v>217</v>
      </c>
      <c r="EF29" s="116"/>
      <c r="EH29" s="80" t="s">
        <v>217</v>
      </c>
    </row>
    <row r="30" ht="15.75" customHeight="1">
      <c r="A30" s="80" t="s">
        <v>586</v>
      </c>
      <c r="B30" s="113" t="s">
        <v>587</v>
      </c>
      <c r="C30" s="80" t="s">
        <v>209</v>
      </c>
      <c r="D30" s="80" t="s">
        <v>588</v>
      </c>
      <c r="E30" s="73" t="s">
        <v>217</v>
      </c>
      <c r="F30" s="80" t="s">
        <v>245</v>
      </c>
      <c r="G30" s="80" t="s">
        <v>227</v>
      </c>
      <c r="H30" s="61" t="str">
        <f t="shared" si="3"/>
        <v/>
      </c>
      <c r="I30" s="61">
        <f t="shared" si="4"/>
        <v>1</v>
      </c>
      <c r="J30" s="61" t="str">
        <f t="shared" si="5"/>
        <v/>
      </c>
      <c r="K30" s="61" t="str">
        <f t="shared" si="6"/>
        <v/>
      </c>
      <c r="L30" s="61" t="str">
        <f t="shared" si="7"/>
        <v/>
      </c>
      <c r="M30" s="61" t="str">
        <f t="shared" si="8"/>
        <v/>
      </c>
      <c r="N30" s="61" t="b">
        <f t="shared" si="9"/>
        <v>1</v>
      </c>
      <c r="O30" s="61" t="b">
        <f t="shared" si="35"/>
        <v>1</v>
      </c>
      <c r="P30" s="80">
        <v>1.0</v>
      </c>
      <c r="Q30" s="80">
        <v>1.0</v>
      </c>
      <c r="R30" s="80">
        <v>1.0</v>
      </c>
      <c r="S30" s="61" t="b">
        <f t="shared" si="11"/>
        <v>1</v>
      </c>
      <c r="T30" s="80">
        <v>0.0</v>
      </c>
      <c r="U30" s="80">
        <v>1.0</v>
      </c>
      <c r="V30" s="80">
        <v>1.0</v>
      </c>
      <c r="W30" s="115" t="s">
        <v>589</v>
      </c>
      <c r="X30" s="61" t="str">
        <f t="shared" si="30"/>
        <v/>
      </c>
      <c r="Y30" s="61" t="str">
        <f t="shared" si="12"/>
        <v>Sciascio:icwe05, </v>
      </c>
      <c r="Z30" s="80" t="s">
        <v>590</v>
      </c>
      <c r="AA30" s="80" t="s">
        <v>214</v>
      </c>
      <c r="AC30" s="61">
        <f>countif('Charts-SLR'!A:A,AA30)</f>
        <v>1</v>
      </c>
      <c r="AD30" s="80" t="s">
        <v>591</v>
      </c>
      <c r="AE30" s="61">
        <f t="shared" si="13"/>
        <v>0</v>
      </c>
      <c r="AF30" s="80">
        <v>2005.0</v>
      </c>
      <c r="AG30" s="80" t="s">
        <v>250</v>
      </c>
      <c r="AH30" s="80">
        <v>13.0</v>
      </c>
      <c r="AI30" s="108">
        <f t="shared" si="14"/>
        <v>1.857142857</v>
      </c>
      <c r="AJ30" s="61" t="str">
        <f t="shared" si="15"/>
        <v/>
      </c>
      <c r="AK30" s="61">
        <f t="shared" si="16"/>
        <v>13</v>
      </c>
      <c r="AL30" s="61" t="str">
        <f t="shared" si="17"/>
        <v/>
      </c>
      <c r="AM30" s="61" t="str">
        <f t="shared" si="18"/>
        <v/>
      </c>
      <c r="AN30" s="61" t="str">
        <f t="shared" si="19"/>
        <v/>
      </c>
      <c r="AO30" s="61" t="str">
        <f t="shared" si="20"/>
        <v/>
      </c>
      <c r="AP30" s="80" t="s">
        <v>217</v>
      </c>
      <c r="AR30" s="80" t="s">
        <v>217</v>
      </c>
      <c r="AV30" s="61">
        <f t="shared" si="21"/>
        <v>2</v>
      </c>
      <c r="AW30" s="80" t="s">
        <v>217</v>
      </c>
      <c r="BE30" s="80" t="s">
        <v>217</v>
      </c>
      <c r="BM30" s="80" t="s">
        <v>217</v>
      </c>
      <c r="BO30" s="218" t="str">
        <f t="shared" si="36"/>
        <v/>
      </c>
      <c r="BP30" s="61">
        <f t="shared" si="33"/>
        <v>1</v>
      </c>
      <c r="BR30" s="80" t="s">
        <v>217</v>
      </c>
      <c r="BS30" s="80" t="s">
        <v>217</v>
      </c>
      <c r="BU30" s="80" t="s">
        <v>217</v>
      </c>
      <c r="BV30" s="80" t="s">
        <v>217</v>
      </c>
      <c r="CH30" s="80" t="s">
        <v>217</v>
      </c>
      <c r="CM30" s="61">
        <f t="shared" si="22"/>
        <v>1</v>
      </c>
      <c r="CR30" s="80" t="s">
        <v>217</v>
      </c>
      <c r="CS30" s="61">
        <f t="shared" si="23"/>
        <v>1</v>
      </c>
      <c r="CU30" s="80" t="s">
        <v>217</v>
      </c>
      <c r="CV30" s="61" t="str">
        <f t="shared" si="24"/>
        <v/>
      </c>
      <c r="CW30" s="61" t="str">
        <f t="shared" si="25"/>
        <v/>
      </c>
      <c r="CX30" s="61" t="str">
        <f t="shared" si="26"/>
        <v>FA</v>
      </c>
      <c r="DD30" s="80" t="s">
        <v>217</v>
      </c>
      <c r="DG30" s="80" t="s">
        <v>217</v>
      </c>
      <c r="DH30" s="61" t="str">
        <f t="shared" si="27"/>
        <v/>
      </c>
      <c r="DI30" s="80" t="s">
        <v>217</v>
      </c>
      <c r="DK30" s="61" t="str">
        <f t="shared" si="28"/>
        <v/>
      </c>
      <c r="DL30" s="61" t="str">
        <f t="shared" si="29"/>
        <v/>
      </c>
      <c r="DP30" s="80" t="s">
        <v>217</v>
      </c>
      <c r="DY30" s="80" t="s">
        <v>217</v>
      </c>
      <c r="EF30" s="116"/>
      <c r="EH30" s="80" t="s">
        <v>217</v>
      </c>
    </row>
    <row r="31" ht="14.25" customHeight="1">
      <c r="A31" s="80" t="s">
        <v>594</v>
      </c>
      <c r="B31" s="113" t="s">
        <v>595</v>
      </c>
      <c r="C31" s="80" t="s">
        <v>245</v>
      </c>
      <c r="D31" s="80" t="s">
        <v>596</v>
      </c>
      <c r="E31" s="73" t="s">
        <v>217</v>
      </c>
      <c r="F31" s="80" t="s">
        <v>209</v>
      </c>
      <c r="G31" s="80" t="s">
        <v>211</v>
      </c>
      <c r="H31" s="61" t="str">
        <f t="shared" si="3"/>
        <v/>
      </c>
      <c r="I31" s="61" t="str">
        <f t="shared" si="4"/>
        <v/>
      </c>
      <c r="J31" s="61" t="str">
        <f t="shared" si="5"/>
        <v/>
      </c>
      <c r="K31" s="61" t="str">
        <f t="shared" si="6"/>
        <v/>
      </c>
      <c r="L31" s="61" t="str">
        <f t="shared" si="7"/>
        <v/>
      </c>
      <c r="M31" s="61">
        <f t="shared" si="8"/>
        <v>1</v>
      </c>
      <c r="N31" s="61" t="b">
        <f t="shared" si="9"/>
        <v>1</v>
      </c>
      <c r="O31" s="61" t="b">
        <f t="shared" si="35"/>
        <v>1</v>
      </c>
      <c r="P31" s="80">
        <v>1.0</v>
      </c>
      <c r="Q31" s="80">
        <v>1.0</v>
      </c>
      <c r="R31" s="80">
        <v>1.0</v>
      </c>
      <c r="S31" s="61" t="b">
        <f t="shared" si="11"/>
        <v>1</v>
      </c>
      <c r="T31" s="80">
        <v>1.0</v>
      </c>
      <c r="U31" s="80">
        <v>1.0</v>
      </c>
      <c r="V31" s="80">
        <v>1.0</v>
      </c>
      <c r="X31" s="61" t="str">
        <f t="shared" si="30"/>
        <v/>
      </c>
      <c r="Y31" s="61" t="str">
        <f t="shared" si="12"/>
        <v/>
      </c>
      <c r="Z31" s="80" t="s">
        <v>597</v>
      </c>
      <c r="AA31" s="80" t="s">
        <v>598</v>
      </c>
      <c r="AC31" s="61">
        <f>countif('Charts-SLR'!A:A,AA31)</f>
        <v>1</v>
      </c>
      <c r="AD31" s="80" t="s">
        <v>599</v>
      </c>
      <c r="AE31" s="61">
        <f t="shared" si="13"/>
        <v>0</v>
      </c>
      <c r="AF31" s="80">
        <v>2011.0</v>
      </c>
      <c r="AG31" s="80" t="s">
        <v>250</v>
      </c>
      <c r="AH31" s="80">
        <v>0.0</v>
      </c>
      <c r="AI31" s="108">
        <f t="shared" si="14"/>
        <v>0</v>
      </c>
      <c r="AJ31" s="61" t="str">
        <f t="shared" si="15"/>
        <v/>
      </c>
      <c r="AK31" s="61">
        <f t="shared" si="16"/>
        <v>0</v>
      </c>
      <c r="AL31" s="61" t="str">
        <f t="shared" si="17"/>
        <v/>
      </c>
      <c r="AM31" s="61" t="str">
        <f t="shared" si="18"/>
        <v/>
      </c>
      <c r="AN31" s="61" t="str">
        <f t="shared" si="19"/>
        <v/>
      </c>
      <c r="AO31" s="61" t="str">
        <f t="shared" si="20"/>
        <v/>
      </c>
      <c r="AP31" s="80" t="s">
        <v>217</v>
      </c>
      <c r="AQ31" s="80" t="s">
        <v>217</v>
      </c>
      <c r="AV31" s="61">
        <f t="shared" si="21"/>
        <v>2</v>
      </c>
      <c r="AX31" s="80" t="s">
        <v>217</v>
      </c>
      <c r="BF31" s="80" t="s">
        <v>217</v>
      </c>
      <c r="BG31" s="80" t="s">
        <v>217</v>
      </c>
      <c r="BI31" s="80" t="s">
        <v>217</v>
      </c>
      <c r="BN31" s="80" t="s">
        <v>217</v>
      </c>
      <c r="BO31" s="218" t="str">
        <f t="shared" si="36"/>
        <v/>
      </c>
      <c r="BP31" s="61">
        <f t="shared" si="33"/>
        <v>2</v>
      </c>
      <c r="BQ31" s="80" t="s">
        <v>217</v>
      </c>
      <c r="BT31" s="80" t="s">
        <v>217</v>
      </c>
      <c r="CG31" s="80" t="s">
        <v>217</v>
      </c>
      <c r="CM31" s="61">
        <f t="shared" si="22"/>
        <v>1</v>
      </c>
      <c r="CN31" s="80" t="s">
        <v>217</v>
      </c>
      <c r="CR31" s="80" t="s">
        <v>217</v>
      </c>
      <c r="CS31" s="61">
        <f t="shared" si="23"/>
        <v>2</v>
      </c>
      <c r="CU31" s="80" t="s">
        <v>217</v>
      </c>
      <c r="CV31" s="61" t="str">
        <f t="shared" si="24"/>
        <v/>
      </c>
      <c r="CW31" s="61" t="str">
        <f t="shared" si="25"/>
        <v/>
      </c>
      <c r="CX31" s="61" t="str">
        <f t="shared" si="26"/>
        <v>FA</v>
      </c>
      <c r="CY31" s="80" t="s">
        <v>217</v>
      </c>
      <c r="DA31" s="80" t="s">
        <v>217</v>
      </c>
      <c r="DG31" s="80" t="s">
        <v>217</v>
      </c>
      <c r="DH31" s="61" t="str">
        <f t="shared" si="27"/>
        <v/>
      </c>
      <c r="DI31" s="80" t="s">
        <v>217</v>
      </c>
      <c r="DK31" s="61" t="str">
        <f t="shared" si="28"/>
        <v/>
      </c>
      <c r="DL31" s="61" t="str">
        <f t="shared" si="29"/>
        <v/>
      </c>
      <c r="DP31" s="80" t="s">
        <v>217</v>
      </c>
      <c r="DU31" s="80" t="s">
        <v>217</v>
      </c>
      <c r="EB31" s="80" t="s">
        <v>603</v>
      </c>
      <c r="ED31" s="80">
        <v>2.0</v>
      </c>
      <c r="EE31" s="80" t="s">
        <v>604</v>
      </c>
      <c r="EF31" s="112">
        <v>1207.0</v>
      </c>
      <c r="EJ31" s="80" t="s">
        <v>217</v>
      </c>
    </row>
    <row r="32" ht="1.5" customHeight="1">
      <c r="A32" s="80" t="s">
        <v>606</v>
      </c>
      <c r="B32" s="113" t="s">
        <v>607</v>
      </c>
      <c r="C32" s="80" t="s">
        <v>245</v>
      </c>
      <c r="D32" s="80" t="s">
        <v>608</v>
      </c>
      <c r="E32" s="73" t="s">
        <v>217</v>
      </c>
      <c r="F32" s="80" t="s">
        <v>210</v>
      </c>
      <c r="G32" s="80" t="s">
        <v>211</v>
      </c>
      <c r="H32" s="61" t="str">
        <f t="shared" si="3"/>
        <v/>
      </c>
      <c r="I32" s="61" t="str">
        <f t="shared" si="4"/>
        <v/>
      </c>
      <c r="J32" s="61" t="str">
        <f t="shared" si="5"/>
        <v/>
      </c>
      <c r="K32" s="61" t="str">
        <f t="shared" si="6"/>
        <v/>
      </c>
      <c r="L32" s="61">
        <f t="shared" si="7"/>
        <v>1</v>
      </c>
      <c r="M32" s="61" t="str">
        <f t="shared" si="8"/>
        <v/>
      </c>
      <c r="N32" s="61" t="b">
        <f t="shared" si="9"/>
        <v>1</v>
      </c>
      <c r="O32" s="61" t="b">
        <f t="shared" si="35"/>
        <v>1</v>
      </c>
      <c r="P32" s="80">
        <v>1.0</v>
      </c>
      <c r="Q32" s="80">
        <v>1.0</v>
      </c>
      <c r="R32" s="80">
        <v>1.0</v>
      </c>
      <c r="S32" s="61" t="b">
        <f t="shared" si="11"/>
        <v>1</v>
      </c>
      <c r="T32" s="80">
        <v>1.0</v>
      </c>
      <c r="U32" s="80">
        <v>1.0</v>
      </c>
      <c r="V32" s="80">
        <v>1.0</v>
      </c>
      <c r="W32" s="80" t="s">
        <v>609</v>
      </c>
      <c r="X32" s="61" t="str">
        <f t="shared" si="30"/>
        <v/>
      </c>
      <c r="Y32" s="61" t="str">
        <f t="shared" si="12"/>
        <v>Pattabiraman:ISSRE10, </v>
      </c>
      <c r="Z32" s="114" t="s">
        <v>610</v>
      </c>
      <c r="AA32" s="80" t="s">
        <v>387</v>
      </c>
      <c r="AB32" s="80" t="s">
        <v>217</v>
      </c>
      <c r="AC32" s="80">
        <v>1.0</v>
      </c>
      <c r="AD32" s="80" t="s">
        <v>413</v>
      </c>
      <c r="AE32" s="61">
        <f t="shared" si="13"/>
        <v>0</v>
      </c>
      <c r="AF32" s="80">
        <v>2010.0</v>
      </c>
      <c r="AG32" s="80" t="s">
        <v>268</v>
      </c>
      <c r="AH32" s="80">
        <v>5.0</v>
      </c>
      <c r="AI32" s="108">
        <f t="shared" si="14"/>
        <v>2.5</v>
      </c>
      <c r="AJ32" s="61" t="str">
        <f t="shared" si="15"/>
        <v/>
      </c>
      <c r="AK32" s="61" t="str">
        <f t="shared" si="16"/>
        <v/>
      </c>
      <c r="AL32" s="61" t="str">
        <f t="shared" si="17"/>
        <v/>
      </c>
      <c r="AM32" s="61" t="str">
        <f t="shared" si="18"/>
        <v/>
      </c>
      <c r="AN32" s="61">
        <f t="shared" si="19"/>
        <v>5</v>
      </c>
      <c r="AO32" s="61" t="str">
        <f t="shared" si="20"/>
        <v/>
      </c>
      <c r="AP32" s="80" t="s">
        <v>217</v>
      </c>
      <c r="AQ32" s="80" t="s">
        <v>217</v>
      </c>
      <c r="AV32" s="61">
        <f t="shared" si="21"/>
        <v>2</v>
      </c>
      <c r="AX32" s="80" t="s">
        <v>217</v>
      </c>
      <c r="BD32" s="80" t="s">
        <v>217</v>
      </c>
      <c r="BF32" s="80" t="s">
        <v>217</v>
      </c>
      <c r="BJ32" s="80" t="s">
        <v>217</v>
      </c>
      <c r="BL32" s="80" t="s">
        <v>217</v>
      </c>
      <c r="BM32" s="80" t="s">
        <v>217</v>
      </c>
      <c r="BO32" s="218" t="str">
        <f t="shared" si="36"/>
        <v/>
      </c>
      <c r="BP32" s="61">
        <f t="shared" si="33"/>
        <v>1</v>
      </c>
      <c r="BS32" s="80" t="s">
        <v>217</v>
      </c>
      <c r="BW32" s="80" t="s">
        <v>217</v>
      </c>
      <c r="CJ32" s="80" t="s">
        <v>217</v>
      </c>
      <c r="CM32" s="61">
        <f t="shared" si="22"/>
        <v>1</v>
      </c>
      <c r="CP32" s="80" t="s">
        <v>217</v>
      </c>
      <c r="CS32" s="61">
        <f t="shared" si="23"/>
        <v>1</v>
      </c>
      <c r="CU32" s="80" t="s">
        <v>217</v>
      </c>
      <c r="CV32" s="61" t="str">
        <f t="shared" si="24"/>
        <v/>
      </c>
      <c r="CW32" s="61" t="str">
        <f t="shared" si="25"/>
        <v/>
      </c>
      <c r="CX32" s="61" t="str">
        <f t="shared" si="26"/>
        <v>FA</v>
      </c>
      <c r="CY32" s="80" t="s">
        <v>217</v>
      </c>
      <c r="CZ32" s="80" t="s">
        <v>217</v>
      </c>
      <c r="DB32" s="80" t="s">
        <v>217</v>
      </c>
      <c r="DG32" s="80" t="s">
        <v>217</v>
      </c>
      <c r="DH32" s="61" t="str">
        <f t="shared" si="27"/>
        <v/>
      </c>
      <c r="DJ32" s="80" t="s">
        <v>217</v>
      </c>
      <c r="DK32" s="61" t="str">
        <f t="shared" si="28"/>
        <v/>
      </c>
      <c r="DL32" s="61" t="str">
        <f t="shared" si="29"/>
        <v/>
      </c>
      <c r="DN32" s="80" t="s">
        <v>217</v>
      </c>
      <c r="DO32" s="80" t="s">
        <v>217</v>
      </c>
      <c r="DY32" s="80" t="s">
        <v>217</v>
      </c>
      <c r="EB32" s="80" t="s">
        <v>616</v>
      </c>
      <c r="ED32" s="80">
        <v>3.0</v>
      </c>
      <c r="EE32" s="80" t="s">
        <v>617</v>
      </c>
      <c r="EF32" s="112">
        <v>25749.0</v>
      </c>
      <c r="EG32" s="80" t="s">
        <v>618</v>
      </c>
      <c r="EH32" s="80" t="s">
        <v>217</v>
      </c>
      <c r="EI32" s="80" t="s">
        <v>217</v>
      </c>
      <c r="EK32" s="80" t="s">
        <v>1395</v>
      </c>
    </row>
    <row r="33" ht="1.5" customHeight="1">
      <c r="A33" s="80" t="s">
        <v>1396</v>
      </c>
      <c r="B33" s="113" t="s">
        <v>1397</v>
      </c>
      <c r="C33" s="80" t="s">
        <v>210</v>
      </c>
      <c r="D33" s="80" t="s">
        <v>1398</v>
      </c>
      <c r="E33" s="73" t="s">
        <v>217</v>
      </c>
      <c r="F33" s="80" t="s">
        <v>209</v>
      </c>
      <c r="G33" s="80" t="s">
        <v>211</v>
      </c>
      <c r="H33" s="61" t="str">
        <f t="shared" si="3"/>
        <v/>
      </c>
      <c r="I33" s="61" t="str">
        <f t="shared" si="4"/>
        <v/>
      </c>
      <c r="J33" s="61">
        <f t="shared" si="5"/>
        <v>1</v>
      </c>
      <c r="K33" s="61" t="str">
        <f t="shared" si="6"/>
        <v/>
      </c>
      <c r="L33" s="61" t="str">
        <f t="shared" si="7"/>
        <v/>
      </c>
      <c r="M33" s="61" t="str">
        <f t="shared" si="8"/>
        <v/>
      </c>
      <c r="N33" s="61" t="b">
        <f t="shared" si="9"/>
        <v>1</v>
      </c>
      <c r="O33" s="61" t="b">
        <f t="shared" si="35"/>
        <v>1</v>
      </c>
      <c r="P33" s="80">
        <v>1.0</v>
      </c>
      <c r="Q33" s="80">
        <v>1.0</v>
      </c>
      <c r="R33" s="80">
        <v>1.0</v>
      </c>
      <c r="S33" s="61" t="b">
        <f t="shared" si="11"/>
        <v>1</v>
      </c>
      <c r="T33" s="80">
        <v>1.0</v>
      </c>
      <c r="U33" s="80">
        <v>1.0</v>
      </c>
      <c r="V33" s="80">
        <v>1.0</v>
      </c>
      <c r="X33" s="61" t="str">
        <f t="shared" si="30"/>
        <v/>
      </c>
      <c r="Y33" s="61" t="str">
        <f t="shared" si="12"/>
        <v/>
      </c>
      <c r="Z33" s="114" t="s">
        <v>1399</v>
      </c>
      <c r="AA33" s="80" t="s">
        <v>266</v>
      </c>
      <c r="AC33" s="61">
        <f>countif('Charts-SLR'!A:A,AA33)</f>
        <v>1</v>
      </c>
      <c r="AD33" s="80" t="s">
        <v>677</v>
      </c>
      <c r="AE33" s="61">
        <f t="shared" si="13"/>
        <v>0</v>
      </c>
      <c r="AF33" s="80">
        <v>2008.0</v>
      </c>
      <c r="AG33" s="80" t="s">
        <v>250</v>
      </c>
      <c r="AH33" s="80">
        <v>70.0</v>
      </c>
      <c r="AI33" s="108">
        <f t="shared" si="14"/>
        <v>17.5</v>
      </c>
      <c r="AJ33" s="61" t="str">
        <f t="shared" si="15"/>
        <v/>
      </c>
      <c r="AK33" s="61">
        <f t="shared" si="16"/>
        <v>70</v>
      </c>
      <c r="AL33" s="61" t="str">
        <f t="shared" si="17"/>
        <v/>
      </c>
      <c r="AM33" s="61" t="str">
        <f t="shared" si="18"/>
        <v/>
      </c>
      <c r="AN33" s="61" t="str">
        <f t="shared" si="19"/>
        <v/>
      </c>
      <c r="AO33" s="61" t="str">
        <f t="shared" si="20"/>
        <v/>
      </c>
      <c r="AP33" s="80" t="s">
        <v>217</v>
      </c>
      <c r="AQ33" s="80" t="s">
        <v>217</v>
      </c>
      <c r="AV33" s="61">
        <f t="shared" si="21"/>
        <v>2</v>
      </c>
      <c r="AX33" s="80" t="s">
        <v>217</v>
      </c>
      <c r="BD33" s="80" t="s">
        <v>217</v>
      </c>
      <c r="BF33" s="80" t="s">
        <v>217</v>
      </c>
      <c r="BG33" s="80" t="s">
        <v>217</v>
      </c>
      <c r="BN33" s="80" t="s">
        <v>217</v>
      </c>
      <c r="BO33" s="122"/>
      <c r="BP33" s="61">
        <f t="shared" si="33"/>
        <v>2</v>
      </c>
      <c r="BQ33" s="80" t="s">
        <v>217</v>
      </c>
      <c r="BT33" s="80" t="s">
        <v>217</v>
      </c>
      <c r="CG33" s="80" t="s">
        <v>217</v>
      </c>
      <c r="CM33" s="61">
        <f t="shared" si="22"/>
        <v>1</v>
      </c>
      <c r="CN33" s="80" t="s">
        <v>217</v>
      </c>
      <c r="CS33" s="61">
        <f t="shared" si="23"/>
        <v>1</v>
      </c>
      <c r="CU33" s="80" t="s">
        <v>217</v>
      </c>
      <c r="CV33" s="61" t="str">
        <f t="shared" si="24"/>
        <v/>
      </c>
      <c r="CW33" s="61" t="str">
        <f t="shared" si="25"/>
        <v/>
      </c>
      <c r="CX33" s="61" t="str">
        <f t="shared" si="26"/>
        <v>FA</v>
      </c>
      <c r="DC33" s="80" t="s">
        <v>217</v>
      </c>
      <c r="DG33" s="80" t="s">
        <v>217</v>
      </c>
      <c r="DH33" s="61" t="str">
        <f t="shared" si="27"/>
        <v/>
      </c>
      <c r="DI33" s="80" t="s">
        <v>217</v>
      </c>
      <c r="DK33" s="61" t="str">
        <f t="shared" si="28"/>
        <v/>
      </c>
      <c r="DL33" s="61" t="str">
        <f t="shared" si="29"/>
        <v/>
      </c>
      <c r="DP33" s="80" t="s">
        <v>217</v>
      </c>
      <c r="DS33" s="80" t="s">
        <v>217</v>
      </c>
      <c r="EB33" s="80" t="s">
        <v>1400</v>
      </c>
      <c r="ED33" s="80">
        <v>3.0</v>
      </c>
      <c r="EE33" s="80" t="s">
        <v>1401</v>
      </c>
      <c r="EF33" s="112">
        <v>32105.0</v>
      </c>
      <c r="EG33" s="80" t="s">
        <v>1402</v>
      </c>
      <c r="EI33" s="80" t="s">
        <v>217</v>
      </c>
    </row>
    <row r="34" ht="1.5" customHeight="1">
      <c r="A34" s="114" t="s">
        <v>640</v>
      </c>
      <c r="B34" s="113" t="s">
        <v>641</v>
      </c>
      <c r="C34" s="80" t="s">
        <v>209</v>
      </c>
      <c r="D34" s="114" t="s">
        <v>642</v>
      </c>
      <c r="E34" s="73" t="s">
        <v>217</v>
      </c>
      <c r="F34" s="80" t="s">
        <v>245</v>
      </c>
      <c r="G34" s="80" t="s">
        <v>211</v>
      </c>
      <c r="H34" s="61" t="str">
        <f t="shared" si="3"/>
        <v/>
      </c>
      <c r="I34" s="61">
        <f t="shared" si="4"/>
        <v>1</v>
      </c>
      <c r="J34" s="61" t="str">
        <f t="shared" si="5"/>
        <v/>
      </c>
      <c r="K34" s="61" t="str">
        <f t="shared" si="6"/>
        <v/>
      </c>
      <c r="L34" s="61" t="str">
        <f t="shared" si="7"/>
        <v/>
      </c>
      <c r="M34" s="61" t="str">
        <f t="shared" si="8"/>
        <v/>
      </c>
      <c r="N34" s="61" t="b">
        <f t="shared" si="9"/>
        <v>1</v>
      </c>
      <c r="O34" s="61" t="b">
        <f t="shared" si="35"/>
        <v>1</v>
      </c>
      <c r="P34" s="80">
        <v>1.0</v>
      </c>
      <c r="Q34" s="80">
        <v>1.0</v>
      </c>
      <c r="R34" s="80">
        <v>1.0</v>
      </c>
      <c r="S34" s="61" t="b">
        <f t="shared" si="11"/>
        <v>1</v>
      </c>
      <c r="T34" s="80">
        <v>1.0</v>
      </c>
      <c r="U34" s="80">
        <v>1.0</v>
      </c>
      <c r="V34" s="80">
        <v>1.0</v>
      </c>
      <c r="X34" s="61" t="str">
        <f t="shared" si="30"/>
        <v/>
      </c>
      <c r="Y34" s="61" t="str">
        <f t="shared" si="12"/>
        <v/>
      </c>
      <c r="Z34" s="114" t="s">
        <v>1403</v>
      </c>
      <c r="AA34" s="80" t="s">
        <v>387</v>
      </c>
      <c r="AB34" s="114" t="s">
        <v>217</v>
      </c>
      <c r="AC34" s="80">
        <v>1.0</v>
      </c>
      <c r="AD34" s="114" t="s">
        <v>450</v>
      </c>
      <c r="AE34" s="61">
        <f t="shared" si="13"/>
        <v>0</v>
      </c>
      <c r="AF34" s="80">
        <v>2010.0</v>
      </c>
      <c r="AG34" s="80" t="s">
        <v>250</v>
      </c>
      <c r="AH34" s="80">
        <v>6.0</v>
      </c>
      <c r="AI34" s="108">
        <f t="shared" si="14"/>
        <v>3</v>
      </c>
      <c r="AJ34" s="61" t="str">
        <f t="shared" si="15"/>
        <v/>
      </c>
      <c r="AK34" s="61">
        <f t="shared" si="16"/>
        <v>6</v>
      </c>
      <c r="AL34" s="61" t="str">
        <f t="shared" si="17"/>
        <v/>
      </c>
      <c r="AM34" s="61" t="str">
        <f t="shared" si="18"/>
        <v/>
      </c>
      <c r="AN34" s="61" t="str">
        <f t="shared" si="19"/>
        <v/>
      </c>
      <c r="AO34" s="61" t="str">
        <f t="shared" si="20"/>
        <v/>
      </c>
      <c r="AP34" s="80" t="s">
        <v>217</v>
      </c>
      <c r="AQ34" s="80" t="s">
        <v>217</v>
      </c>
      <c r="AR34" s="80" t="s">
        <v>217</v>
      </c>
      <c r="AV34" s="61">
        <f t="shared" si="21"/>
        <v>3</v>
      </c>
      <c r="AX34" s="80" t="s">
        <v>217</v>
      </c>
      <c r="BE34" s="80" t="s">
        <v>217</v>
      </c>
      <c r="BL34" s="80" t="s">
        <v>217</v>
      </c>
      <c r="BN34" s="80" t="s">
        <v>217</v>
      </c>
      <c r="BO34" s="218" t="str">
        <f>if(and(BM34="x",BN34="x"), "x", "")</f>
        <v/>
      </c>
      <c r="BP34" s="61">
        <f t="shared" si="33"/>
        <v>2</v>
      </c>
      <c r="BR34" s="80" t="s">
        <v>217</v>
      </c>
      <c r="BU34" s="80" t="s">
        <v>217</v>
      </c>
      <c r="CH34" s="80" t="s">
        <v>217</v>
      </c>
      <c r="CM34" s="61">
        <f t="shared" si="22"/>
        <v>1</v>
      </c>
      <c r="CP34" s="80" t="s">
        <v>217</v>
      </c>
      <c r="CS34" s="61">
        <f t="shared" si="23"/>
        <v>1</v>
      </c>
      <c r="CT34" s="80" t="s">
        <v>217</v>
      </c>
      <c r="CU34" s="80" t="s">
        <v>217</v>
      </c>
      <c r="CV34" s="61" t="str">
        <f t="shared" si="24"/>
        <v>both</v>
      </c>
      <c r="CW34" s="61" t="str">
        <f t="shared" si="25"/>
        <v/>
      </c>
      <c r="CX34" s="61" t="str">
        <f t="shared" si="26"/>
        <v/>
      </c>
      <c r="DG34" s="80" t="s">
        <v>217</v>
      </c>
      <c r="DH34" s="61" t="str">
        <f t="shared" si="27"/>
        <v/>
      </c>
      <c r="DI34" s="80" t="s">
        <v>217</v>
      </c>
      <c r="DK34" s="61" t="str">
        <f t="shared" si="28"/>
        <v/>
      </c>
      <c r="DL34" s="61" t="str">
        <f t="shared" si="29"/>
        <v/>
      </c>
      <c r="DP34" s="80" t="s">
        <v>217</v>
      </c>
      <c r="DS34" s="80" t="s">
        <v>217</v>
      </c>
      <c r="EB34" s="80" t="s">
        <v>648</v>
      </c>
      <c r="ED34" s="80">
        <v>3.0</v>
      </c>
      <c r="EE34" s="80" t="s">
        <v>649</v>
      </c>
      <c r="EF34" s="112">
        <v>601000.0</v>
      </c>
      <c r="EG34" s="80" t="s">
        <v>650</v>
      </c>
      <c r="EI34" s="80" t="s">
        <v>483</v>
      </c>
    </row>
    <row r="35" ht="1.5" customHeight="1">
      <c r="A35" s="80" t="s">
        <v>652</v>
      </c>
      <c r="B35" s="113" t="s">
        <v>653</v>
      </c>
      <c r="C35" s="80" t="s">
        <v>210</v>
      </c>
      <c r="D35" s="80" t="s">
        <v>654</v>
      </c>
      <c r="E35" s="73" t="s">
        <v>217</v>
      </c>
      <c r="F35" s="80" t="s">
        <v>209</v>
      </c>
      <c r="G35" s="80" t="s">
        <v>211</v>
      </c>
      <c r="H35" s="61" t="str">
        <f t="shared" si="3"/>
        <v/>
      </c>
      <c r="I35" s="61" t="str">
        <f t="shared" si="4"/>
        <v/>
      </c>
      <c r="J35" s="61">
        <f t="shared" si="5"/>
        <v>1</v>
      </c>
      <c r="K35" s="61" t="str">
        <f t="shared" si="6"/>
        <v/>
      </c>
      <c r="L35" s="61" t="str">
        <f t="shared" si="7"/>
        <v/>
      </c>
      <c r="M35" s="61" t="str">
        <f t="shared" si="8"/>
        <v/>
      </c>
      <c r="N35" s="61" t="b">
        <f t="shared" si="9"/>
        <v>1</v>
      </c>
      <c r="O35" s="61" t="b">
        <f t="shared" si="35"/>
        <v>1</v>
      </c>
      <c r="P35" s="80">
        <v>1.0</v>
      </c>
      <c r="Q35" s="80">
        <v>1.0</v>
      </c>
      <c r="R35" s="80">
        <v>1.0</v>
      </c>
      <c r="S35" s="61" t="b">
        <f t="shared" si="11"/>
        <v>1</v>
      </c>
      <c r="T35" s="80">
        <v>1.0</v>
      </c>
      <c r="U35" s="80">
        <v>1.0</v>
      </c>
      <c r="V35" s="80">
        <v>1.0</v>
      </c>
      <c r="X35" s="61" t="str">
        <f t="shared" si="30"/>
        <v/>
      </c>
      <c r="Y35" s="61" t="str">
        <f t="shared" si="12"/>
        <v/>
      </c>
      <c r="Z35" s="114" t="s">
        <v>655</v>
      </c>
      <c r="AA35" s="80" t="s">
        <v>214</v>
      </c>
      <c r="AC35" s="61">
        <f>countif('Charts-SLR'!A:A,AA35)</f>
        <v>1</v>
      </c>
      <c r="AD35" s="80" t="s">
        <v>215</v>
      </c>
      <c r="AE35" s="61">
        <f t="shared" si="13"/>
        <v>0</v>
      </c>
      <c r="AF35" s="80">
        <v>2007.0</v>
      </c>
      <c r="AG35" s="80" t="s">
        <v>268</v>
      </c>
      <c r="AH35" s="80">
        <v>14.0</v>
      </c>
      <c r="AI35" s="108">
        <f t="shared" si="14"/>
        <v>2.8</v>
      </c>
      <c r="AJ35" s="61" t="str">
        <f t="shared" si="15"/>
        <v/>
      </c>
      <c r="AK35" s="61" t="str">
        <f t="shared" si="16"/>
        <v/>
      </c>
      <c r="AL35" s="61" t="str">
        <f t="shared" si="17"/>
        <v/>
      </c>
      <c r="AM35" s="61" t="str">
        <f t="shared" si="18"/>
        <v/>
      </c>
      <c r="AN35" s="61">
        <f t="shared" si="19"/>
        <v>14</v>
      </c>
      <c r="AO35" s="61" t="str">
        <f t="shared" si="20"/>
        <v>Marchetto:wse07, </v>
      </c>
      <c r="AU35" s="80" t="s">
        <v>217</v>
      </c>
      <c r="AV35" s="61">
        <f t="shared" si="21"/>
        <v>1</v>
      </c>
      <c r="AX35" s="80" t="s">
        <v>217</v>
      </c>
      <c r="BD35" s="80" t="s">
        <v>217</v>
      </c>
      <c r="BG35" s="80" t="s">
        <v>217</v>
      </c>
      <c r="BL35" s="80" t="s">
        <v>217</v>
      </c>
      <c r="BO35" s="216" t="s">
        <v>217</v>
      </c>
      <c r="BP35" s="61">
        <f t="shared" si="33"/>
        <v>3</v>
      </c>
      <c r="BQ35" s="80" t="s">
        <v>217</v>
      </c>
      <c r="BR35" s="80" t="s">
        <v>217</v>
      </c>
      <c r="BS35" s="80" t="s">
        <v>217</v>
      </c>
      <c r="CM35" s="61">
        <f t="shared" si="22"/>
        <v>0</v>
      </c>
      <c r="CS35" s="61">
        <f t="shared" si="23"/>
        <v>0</v>
      </c>
      <c r="CV35" s="61" t="str">
        <f t="shared" si="24"/>
        <v/>
      </c>
      <c r="CW35" s="61" t="str">
        <f t="shared" si="25"/>
        <v/>
      </c>
      <c r="CX35" s="61" t="str">
        <f t="shared" si="26"/>
        <v/>
      </c>
      <c r="CZ35" s="80" t="s">
        <v>217</v>
      </c>
      <c r="DG35" s="80" t="s">
        <v>217</v>
      </c>
      <c r="DH35" s="61" t="str">
        <f t="shared" si="27"/>
        <v/>
      </c>
      <c r="DI35" s="80" t="s">
        <v>217</v>
      </c>
      <c r="DK35" s="61" t="str">
        <f t="shared" si="28"/>
        <v/>
      </c>
      <c r="DL35" s="61" t="str">
        <f t="shared" si="29"/>
        <v/>
      </c>
      <c r="DM35" s="80" t="s">
        <v>217</v>
      </c>
      <c r="DO35" s="80" t="s">
        <v>217</v>
      </c>
      <c r="DS35" s="80" t="s">
        <v>217</v>
      </c>
      <c r="DU35" s="80" t="s">
        <v>217</v>
      </c>
      <c r="ED35" s="80">
        <v>1.0</v>
      </c>
      <c r="EE35" s="80" t="s">
        <v>664</v>
      </c>
      <c r="EF35" s="112">
        <v>1529.0</v>
      </c>
      <c r="EG35" s="80" t="s">
        <v>665</v>
      </c>
      <c r="EI35" s="80" t="s">
        <v>217</v>
      </c>
    </row>
    <row r="36" ht="1.5" customHeight="1">
      <c r="A36" s="80" t="s">
        <v>667</v>
      </c>
      <c r="B36" s="113" t="s">
        <v>668</v>
      </c>
      <c r="C36" s="80" t="s">
        <v>209</v>
      </c>
      <c r="D36" s="80" t="s">
        <v>669</v>
      </c>
      <c r="E36" s="73" t="s">
        <v>217</v>
      </c>
      <c r="F36" s="80" t="s">
        <v>210</v>
      </c>
      <c r="G36" s="80" t="s">
        <v>211</v>
      </c>
      <c r="H36" s="61">
        <f t="shared" si="3"/>
        <v>1</v>
      </c>
      <c r="I36" s="61" t="str">
        <f t="shared" si="4"/>
        <v/>
      </c>
      <c r="J36" s="61" t="str">
        <f t="shared" si="5"/>
        <v/>
      </c>
      <c r="K36" s="61" t="str">
        <f t="shared" si="6"/>
        <v/>
      </c>
      <c r="L36" s="61" t="str">
        <f t="shared" si="7"/>
        <v/>
      </c>
      <c r="M36" s="61" t="str">
        <f t="shared" si="8"/>
        <v/>
      </c>
      <c r="N36" s="61" t="b">
        <f t="shared" si="9"/>
        <v>1</v>
      </c>
      <c r="O36" s="61" t="b">
        <f t="shared" si="35"/>
        <v>1</v>
      </c>
      <c r="P36" s="80">
        <v>1.0</v>
      </c>
      <c r="Q36" s="80">
        <v>1.0</v>
      </c>
      <c r="R36" s="80">
        <v>1.0</v>
      </c>
      <c r="S36" s="61" t="b">
        <f t="shared" si="11"/>
        <v>1</v>
      </c>
      <c r="T36" s="80">
        <v>0.0</v>
      </c>
      <c r="U36" s="80">
        <v>1.0</v>
      </c>
      <c r="V36" s="80">
        <v>1.0</v>
      </c>
      <c r="W36" s="80" t="s">
        <v>670</v>
      </c>
      <c r="X36" s="61" t="str">
        <f t="shared" si="30"/>
        <v/>
      </c>
      <c r="Y36" s="61" t="str">
        <f t="shared" si="12"/>
        <v/>
      </c>
      <c r="Z36" s="114" t="s">
        <v>671</v>
      </c>
      <c r="AA36" s="80" t="s">
        <v>464</v>
      </c>
      <c r="AC36" s="61">
        <f>countif('Charts-SLR'!A:A,AA36)</f>
        <v>1</v>
      </c>
      <c r="AD36" s="80" t="s">
        <v>591</v>
      </c>
      <c r="AE36" s="61">
        <f t="shared" si="13"/>
        <v>0</v>
      </c>
      <c r="AF36" s="80">
        <v>2005.0</v>
      </c>
      <c r="AG36" s="80" t="s">
        <v>250</v>
      </c>
      <c r="AH36" s="80">
        <v>3.0</v>
      </c>
      <c r="AI36" s="108">
        <f t="shared" si="14"/>
        <v>0.4285714286</v>
      </c>
      <c r="AJ36" s="61" t="str">
        <f t="shared" si="15"/>
        <v/>
      </c>
      <c r="AK36" s="61">
        <f t="shared" si="16"/>
        <v>3</v>
      </c>
      <c r="AL36" s="61" t="str">
        <f t="shared" si="17"/>
        <v/>
      </c>
      <c r="AM36" s="61" t="str">
        <f t="shared" si="18"/>
        <v/>
      </c>
      <c r="AN36" s="61" t="str">
        <f t="shared" si="19"/>
        <v/>
      </c>
      <c r="AO36" s="61" t="str">
        <f t="shared" si="20"/>
        <v/>
      </c>
      <c r="AP36" s="80" t="s">
        <v>217</v>
      </c>
      <c r="AV36" s="61">
        <f t="shared" si="21"/>
        <v>1</v>
      </c>
      <c r="AZ36" s="80" t="s">
        <v>217</v>
      </c>
      <c r="BD36" s="80" t="s">
        <v>217</v>
      </c>
      <c r="BO36" s="218" t="str">
        <f t="shared" ref="BO36:BO41" si="37">if(and(BM36="x",BN36="x"), "x", "")</f>
        <v/>
      </c>
      <c r="BP36" s="61">
        <f t="shared" si="33"/>
        <v>3</v>
      </c>
      <c r="BQ36" s="80" t="s">
        <v>217</v>
      </c>
      <c r="CM36" s="61">
        <f t="shared" si="22"/>
        <v>0</v>
      </c>
      <c r="CS36" s="61">
        <f t="shared" si="23"/>
        <v>0</v>
      </c>
      <c r="CV36" s="61" t="str">
        <f t="shared" si="24"/>
        <v/>
      </c>
      <c r="CW36" s="61" t="str">
        <f t="shared" si="25"/>
        <v/>
      </c>
      <c r="CX36" s="61" t="str">
        <f t="shared" si="26"/>
        <v/>
      </c>
      <c r="DG36" s="80" t="s">
        <v>217</v>
      </c>
      <c r="DH36" s="61" t="str">
        <f t="shared" si="27"/>
        <v/>
      </c>
      <c r="DI36" s="80" t="s">
        <v>217</v>
      </c>
      <c r="DK36" s="61" t="str">
        <f t="shared" si="28"/>
        <v/>
      </c>
      <c r="DL36" s="61" t="str">
        <f t="shared" si="29"/>
        <v/>
      </c>
      <c r="EF36" s="116"/>
      <c r="EJ36" s="80" t="s">
        <v>217</v>
      </c>
      <c r="EK36" s="80" t="s">
        <v>1404</v>
      </c>
    </row>
    <row r="37" ht="1.5" customHeight="1">
      <c r="A37" s="80" t="s">
        <v>673</v>
      </c>
      <c r="B37" s="113" t="s">
        <v>674</v>
      </c>
      <c r="C37" s="80" t="s">
        <v>245</v>
      </c>
      <c r="D37" s="80" t="s">
        <v>675</v>
      </c>
      <c r="E37" s="73" t="s">
        <v>217</v>
      </c>
      <c r="F37" s="80" t="s">
        <v>210</v>
      </c>
      <c r="G37" s="80" t="s">
        <v>211</v>
      </c>
      <c r="H37" s="61" t="str">
        <f t="shared" si="3"/>
        <v/>
      </c>
      <c r="I37" s="61" t="str">
        <f t="shared" si="4"/>
        <v/>
      </c>
      <c r="J37" s="61" t="str">
        <f t="shared" si="5"/>
        <v/>
      </c>
      <c r="K37" s="61" t="str">
        <f t="shared" si="6"/>
        <v/>
      </c>
      <c r="L37" s="61">
        <f t="shared" si="7"/>
        <v>1</v>
      </c>
      <c r="M37" s="61" t="str">
        <f t="shared" si="8"/>
        <v/>
      </c>
      <c r="N37" s="61" t="b">
        <f t="shared" si="9"/>
        <v>1</v>
      </c>
      <c r="O37" s="61" t="b">
        <f t="shared" si="35"/>
        <v>1</v>
      </c>
      <c r="P37" s="80">
        <v>1.0</v>
      </c>
      <c r="Q37" s="80">
        <v>1.0</v>
      </c>
      <c r="R37" s="80">
        <v>1.0</v>
      </c>
      <c r="S37" s="61" t="b">
        <f t="shared" si="11"/>
        <v>1</v>
      </c>
      <c r="T37" s="80">
        <v>1.0</v>
      </c>
      <c r="U37" s="80">
        <v>1.0</v>
      </c>
      <c r="V37" s="80">
        <v>1.0</v>
      </c>
      <c r="X37" s="61" t="str">
        <f t="shared" si="30"/>
        <v/>
      </c>
      <c r="Y37" s="61" t="str">
        <f t="shared" si="12"/>
        <v/>
      </c>
      <c r="Z37" s="114" t="s">
        <v>676</v>
      </c>
      <c r="AA37" s="80" t="s">
        <v>266</v>
      </c>
      <c r="AC37" s="61">
        <f>countif('Charts-SLR'!A:A,AA37)</f>
        <v>1</v>
      </c>
      <c r="AD37" s="80" t="s">
        <v>677</v>
      </c>
      <c r="AE37" s="61">
        <f t="shared" si="13"/>
        <v>0</v>
      </c>
      <c r="AF37" s="80">
        <v>2008.0</v>
      </c>
      <c r="AG37" s="80" t="s">
        <v>268</v>
      </c>
      <c r="AH37" s="80">
        <v>62.0</v>
      </c>
      <c r="AI37" s="108">
        <f t="shared" si="14"/>
        <v>15.5</v>
      </c>
      <c r="AJ37" s="61" t="str">
        <f t="shared" si="15"/>
        <v/>
      </c>
      <c r="AK37" s="61" t="str">
        <f t="shared" si="16"/>
        <v/>
      </c>
      <c r="AL37" s="61" t="str">
        <f t="shared" si="17"/>
        <v/>
      </c>
      <c r="AM37" s="61" t="str">
        <f t="shared" si="18"/>
        <v/>
      </c>
      <c r="AN37" s="61">
        <f t="shared" si="19"/>
        <v>62</v>
      </c>
      <c r="AO37" s="61" t="str">
        <f t="shared" si="20"/>
        <v/>
      </c>
      <c r="AP37" s="80" t="s">
        <v>217</v>
      </c>
      <c r="AQ37" s="80" t="s">
        <v>217</v>
      </c>
      <c r="AV37" s="61">
        <f t="shared" si="21"/>
        <v>2</v>
      </c>
      <c r="AX37" s="80" t="s">
        <v>217</v>
      </c>
      <c r="BF37" s="80" t="s">
        <v>217</v>
      </c>
      <c r="BJ37" s="80" t="s">
        <v>217</v>
      </c>
      <c r="BK37" s="80" t="s">
        <v>217</v>
      </c>
      <c r="BN37" s="80" t="s">
        <v>217</v>
      </c>
      <c r="BO37" s="218" t="str">
        <f t="shared" si="37"/>
        <v/>
      </c>
      <c r="BP37" s="61">
        <f t="shared" si="33"/>
        <v>2</v>
      </c>
      <c r="BQ37" s="80" t="s">
        <v>217</v>
      </c>
      <c r="BT37" s="80" t="s">
        <v>217</v>
      </c>
      <c r="CG37" s="80" t="s">
        <v>217</v>
      </c>
      <c r="CM37" s="61">
        <f t="shared" si="22"/>
        <v>1</v>
      </c>
      <c r="CN37" s="80" t="s">
        <v>217</v>
      </c>
      <c r="CP37" s="80" t="s">
        <v>217</v>
      </c>
      <c r="CS37" s="61">
        <f t="shared" si="23"/>
        <v>2</v>
      </c>
      <c r="CU37" s="80" t="s">
        <v>217</v>
      </c>
      <c r="CV37" s="61" t="str">
        <f t="shared" si="24"/>
        <v/>
      </c>
      <c r="CW37" s="61" t="str">
        <f t="shared" si="25"/>
        <v/>
      </c>
      <c r="CX37" s="61" t="str">
        <f t="shared" si="26"/>
        <v>FA</v>
      </c>
      <c r="CY37" s="80" t="s">
        <v>217</v>
      </c>
      <c r="DC37" s="80" t="s">
        <v>217</v>
      </c>
      <c r="DG37" s="80" t="s">
        <v>217</v>
      </c>
      <c r="DH37" s="61" t="str">
        <f t="shared" si="27"/>
        <v/>
      </c>
      <c r="DI37" s="80" t="s">
        <v>217</v>
      </c>
      <c r="DK37" s="61" t="str">
        <f>if(and(DJ37="x",DI50="x"), "both", "")</f>
        <v/>
      </c>
      <c r="DL37" s="61" t="str">
        <f>if(and(DI50="",DJ37=""), "none", "")</f>
        <v>none</v>
      </c>
      <c r="DP37" s="80" t="s">
        <v>217</v>
      </c>
      <c r="DS37" s="80" t="s">
        <v>217</v>
      </c>
      <c r="EB37" s="80" t="s">
        <v>683</v>
      </c>
      <c r="ED37" s="80">
        <v>4.0</v>
      </c>
      <c r="EE37" s="80" t="s">
        <v>684</v>
      </c>
      <c r="EF37" s="112">
        <v>31245.0</v>
      </c>
      <c r="EG37" s="80" t="s">
        <v>685</v>
      </c>
      <c r="EI37" s="80" t="s">
        <v>217</v>
      </c>
    </row>
    <row r="38" ht="1.5" customHeight="1">
      <c r="A38" s="80" t="s">
        <v>687</v>
      </c>
      <c r="B38" s="113" t="s">
        <v>688</v>
      </c>
      <c r="C38" s="80" t="s">
        <v>210</v>
      </c>
      <c r="D38" s="80" t="s">
        <v>689</v>
      </c>
      <c r="E38" s="73" t="s">
        <v>217</v>
      </c>
      <c r="F38" s="80" t="s">
        <v>245</v>
      </c>
      <c r="G38" s="80" t="s">
        <v>211</v>
      </c>
      <c r="H38" s="61" t="str">
        <f t="shared" si="3"/>
        <v/>
      </c>
      <c r="I38" s="61" t="str">
        <f t="shared" si="4"/>
        <v/>
      </c>
      <c r="J38" s="61" t="str">
        <f t="shared" si="5"/>
        <v/>
      </c>
      <c r="K38" s="61">
        <f t="shared" si="6"/>
        <v>1</v>
      </c>
      <c r="L38" s="61" t="str">
        <f t="shared" si="7"/>
        <v/>
      </c>
      <c r="M38" s="61" t="str">
        <f t="shared" si="8"/>
        <v/>
      </c>
      <c r="N38" s="61" t="b">
        <f t="shared" si="9"/>
        <v>1</v>
      </c>
      <c r="O38" s="61" t="b">
        <f t="shared" si="35"/>
        <v>1</v>
      </c>
      <c r="P38" s="80">
        <v>1.0</v>
      </c>
      <c r="Q38" s="80">
        <v>1.0</v>
      </c>
      <c r="R38" s="80">
        <v>1.0</v>
      </c>
      <c r="S38" s="61" t="b">
        <f t="shared" si="11"/>
        <v>1</v>
      </c>
      <c r="T38" s="80">
        <v>1.0</v>
      </c>
      <c r="U38" s="80">
        <v>1.0</v>
      </c>
      <c r="V38" s="80">
        <v>1.0</v>
      </c>
      <c r="X38" s="61" t="str">
        <f t="shared" si="30"/>
        <v/>
      </c>
      <c r="Y38" s="61" t="str">
        <f t="shared" si="12"/>
        <v/>
      </c>
      <c r="Z38" s="114" t="s">
        <v>690</v>
      </c>
      <c r="AA38" s="80" t="s">
        <v>464</v>
      </c>
      <c r="AC38" s="61">
        <f>countif('Charts-SLR'!A:A,AA38)</f>
        <v>1</v>
      </c>
      <c r="AD38" s="80" t="s">
        <v>475</v>
      </c>
      <c r="AE38" s="61">
        <f t="shared" si="13"/>
        <v>0</v>
      </c>
      <c r="AF38" s="80">
        <v>2008.0</v>
      </c>
      <c r="AG38" s="80" t="s">
        <v>231</v>
      </c>
      <c r="AH38" s="80">
        <v>18.0</v>
      </c>
      <c r="AI38" s="108">
        <f t="shared" si="14"/>
        <v>4.5</v>
      </c>
      <c r="AJ38" s="61">
        <f t="shared" si="15"/>
        <v>18</v>
      </c>
      <c r="AK38" s="61" t="str">
        <f t="shared" si="16"/>
        <v/>
      </c>
      <c r="AL38" s="61" t="str">
        <f t="shared" si="17"/>
        <v/>
      </c>
      <c r="AM38" s="61" t="str">
        <f t="shared" si="18"/>
        <v/>
      </c>
      <c r="AN38" s="61" t="str">
        <f t="shared" si="19"/>
        <v/>
      </c>
      <c r="AO38" s="61" t="str">
        <f t="shared" si="20"/>
        <v/>
      </c>
      <c r="AP38" s="80" t="s">
        <v>217</v>
      </c>
      <c r="AV38" s="61">
        <f t="shared" si="21"/>
        <v>1</v>
      </c>
      <c r="AW38" s="80" t="s">
        <v>217</v>
      </c>
      <c r="BD38" s="80" t="s">
        <v>217</v>
      </c>
      <c r="BI38" s="80" t="s">
        <v>217</v>
      </c>
      <c r="BJ38" s="80" t="s">
        <v>217</v>
      </c>
      <c r="BN38" s="80" t="s">
        <v>217</v>
      </c>
      <c r="BO38" s="218" t="str">
        <f t="shared" si="37"/>
        <v/>
      </c>
      <c r="BP38" s="61">
        <f t="shared" si="33"/>
        <v>2</v>
      </c>
      <c r="BS38" s="80" t="s">
        <v>217</v>
      </c>
      <c r="BT38" s="80" t="s">
        <v>217</v>
      </c>
      <c r="CD38" s="80" t="s">
        <v>217</v>
      </c>
      <c r="CM38" s="61">
        <f t="shared" si="22"/>
        <v>1</v>
      </c>
      <c r="CQ38" s="80" t="s">
        <v>217</v>
      </c>
      <c r="CS38" s="61">
        <f t="shared" si="23"/>
        <v>1</v>
      </c>
      <c r="CT38" s="80" t="s">
        <v>217</v>
      </c>
      <c r="CV38" s="61" t="str">
        <f t="shared" si="24"/>
        <v/>
      </c>
      <c r="CW38" s="61" t="str">
        <f t="shared" si="25"/>
        <v>FM</v>
      </c>
      <c r="CX38" s="61" t="str">
        <f t="shared" si="26"/>
        <v/>
      </c>
      <c r="DD38" s="80" t="s">
        <v>217</v>
      </c>
      <c r="DG38" s="80" t="s">
        <v>217</v>
      </c>
      <c r="DH38" s="61" t="str">
        <f t="shared" si="27"/>
        <v/>
      </c>
      <c r="DI38" s="80" t="s">
        <v>217</v>
      </c>
      <c r="DK38" s="61" t="str">
        <f t="shared" ref="DK38:DK81" si="38">if(and(DJ38="x",DI38="x"), "both", "")</f>
        <v/>
      </c>
      <c r="DL38" s="61" t="str">
        <f t="shared" ref="DL38:DL81" si="39">if(and(DI38="",DJ38=""), "none", "")</f>
        <v/>
      </c>
      <c r="DM38" s="80" t="s">
        <v>217</v>
      </c>
      <c r="EF38" s="116"/>
      <c r="EH38" s="80" t="s">
        <v>217</v>
      </c>
    </row>
    <row r="39" ht="1.5" customHeight="1">
      <c r="A39" s="80" t="s">
        <v>692</v>
      </c>
      <c r="B39" s="113" t="s">
        <v>693</v>
      </c>
      <c r="C39" s="80" t="s">
        <v>209</v>
      </c>
      <c r="D39" s="80" t="s">
        <v>694</v>
      </c>
      <c r="E39" s="73" t="s">
        <v>217</v>
      </c>
      <c r="F39" s="80" t="s">
        <v>210</v>
      </c>
      <c r="G39" s="80" t="s">
        <v>211</v>
      </c>
      <c r="H39" s="61">
        <f t="shared" si="3"/>
        <v>1</v>
      </c>
      <c r="I39" s="61" t="str">
        <f t="shared" si="4"/>
        <v/>
      </c>
      <c r="J39" s="61" t="str">
        <f t="shared" si="5"/>
        <v/>
      </c>
      <c r="K39" s="61" t="str">
        <f t="shared" si="6"/>
        <v/>
      </c>
      <c r="L39" s="61" t="str">
        <f t="shared" si="7"/>
        <v/>
      </c>
      <c r="M39" s="61" t="str">
        <f t="shared" si="8"/>
        <v/>
      </c>
      <c r="N39" s="61" t="b">
        <f t="shared" si="9"/>
        <v>1</v>
      </c>
      <c r="O39" s="61" t="b">
        <f t="shared" si="35"/>
        <v>1</v>
      </c>
      <c r="P39" s="80">
        <v>1.0</v>
      </c>
      <c r="Q39" s="80">
        <v>1.0</v>
      </c>
      <c r="R39" s="80">
        <v>1.0</v>
      </c>
      <c r="S39" s="61" t="b">
        <f t="shared" si="11"/>
        <v>1</v>
      </c>
      <c r="T39" s="80">
        <v>0.0</v>
      </c>
      <c r="U39" s="80">
        <v>1.0</v>
      </c>
      <c r="V39" s="80">
        <v>1.0</v>
      </c>
      <c r="W39" s="115" t="s">
        <v>695</v>
      </c>
      <c r="X39" s="61" t="str">
        <f t="shared" si="30"/>
        <v/>
      </c>
      <c r="Y39" s="61" t="str">
        <f t="shared" si="12"/>
        <v/>
      </c>
      <c r="Z39" s="114" t="s">
        <v>696</v>
      </c>
      <c r="AA39" s="80" t="s">
        <v>697</v>
      </c>
      <c r="AC39" s="61">
        <f>countif('Charts-SLR'!A:A,AA39)</f>
        <v>1</v>
      </c>
      <c r="AD39" s="80" t="s">
        <v>698</v>
      </c>
      <c r="AE39" s="61">
        <f t="shared" si="13"/>
        <v>0</v>
      </c>
      <c r="AF39" s="80">
        <v>2010.0</v>
      </c>
      <c r="AG39" s="80" t="s">
        <v>231</v>
      </c>
      <c r="AH39" s="80">
        <v>0.0</v>
      </c>
      <c r="AI39" s="108">
        <f t="shared" si="14"/>
        <v>0</v>
      </c>
      <c r="AJ39" s="61">
        <f t="shared" si="15"/>
        <v>0</v>
      </c>
      <c r="AK39" s="61" t="str">
        <f t="shared" si="16"/>
        <v/>
      </c>
      <c r="AL39" s="61" t="str">
        <f t="shared" si="17"/>
        <v/>
      </c>
      <c r="AM39" s="61" t="str">
        <f t="shared" si="18"/>
        <v/>
      </c>
      <c r="AN39" s="61" t="str">
        <f t="shared" si="19"/>
        <v/>
      </c>
      <c r="AO39" s="61" t="str">
        <f t="shared" si="20"/>
        <v/>
      </c>
      <c r="AP39" s="80" t="s">
        <v>217</v>
      </c>
      <c r="AQ39" s="80" t="s">
        <v>217</v>
      </c>
      <c r="AT39" s="80" t="s">
        <v>217</v>
      </c>
      <c r="AV39" s="61">
        <f t="shared" si="21"/>
        <v>3</v>
      </c>
      <c r="AW39" s="80" t="s">
        <v>217</v>
      </c>
      <c r="BD39" s="80" t="s">
        <v>217</v>
      </c>
      <c r="BH39" s="80" t="s">
        <v>217</v>
      </c>
      <c r="BI39" s="80" t="s">
        <v>217</v>
      </c>
      <c r="BM39" s="80" t="s">
        <v>217</v>
      </c>
      <c r="BO39" s="218" t="str">
        <f t="shared" si="37"/>
        <v/>
      </c>
      <c r="BP39" s="61">
        <f t="shared" si="33"/>
        <v>1</v>
      </c>
      <c r="BQ39" s="80" t="s">
        <v>217</v>
      </c>
      <c r="BV39" s="80" t="s">
        <v>217</v>
      </c>
      <c r="CB39" s="80" t="s">
        <v>217</v>
      </c>
      <c r="CM39" s="61">
        <f t="shared" si="22"/>
        <v>1</v>
      </c>
      <c r="CN39" s="80" t="s">
        <v>217</v>
      </c>
      <c r="CQ39" s="80" t="s">
        <v>217</v>
      </c>
      <c r="CS39" s="61">
        <f t="shared" si="23"/>
        <v>2</v>
      </c>
      <c r="CU39" s="80" t="s">
        <v>217</v>
      </c>
      <c r="CV39" s="61" t="str">
        <f t="shared" si="24"/>
        <v/>
      </c>
      <c r="CW39" s="61" t="str">
        <f t="shared" si="25"/>
        <v/>
      </c>
      <c r="CX39" s="61" t="str">
        <f t="shared" si="26"/>
        <v>FA</v>
      </c>
      <c r="DG39" s="80" t="s">
        <v>217</v>
      </c>
      <c r="DH39" s="61" t="str">
        <f t="shared" si="27"/>
        <v/>
      </c>
      <c r="DI39" s="80" t="s">
        <v>217</v>
      </c>
      <c r="DK39" s="61" t="str">
        <f t="shared" si="38"/>
        <v/>
      </c>
      <c r="DL39" s="61" t="str">
        <f t="shared" si="39"/>
        <v/>
      </c>
      <c r="DQ39" s="80" t="s">
        <v>217</v>
      </c>
      <c r="DZ39" s="80" t="s">
        <v>217</v>
      </c>
      <c r="EB39" s="80" t="s">
        <v>699</v>
      </c>
      <c r="ED39" s="80">
        <v>1.0</v>
      </c>
      <c r="EE39" s="80" t="s">
        <v>700</v>
      </c>
      <c r="EF39" s="116"/>
      <c r="EI39" s="80" t="s">
        <v>217</v>
      </c>
    </row>
    <row r="40" ht="1.5" customHeight="1">
      <c r="A40" s="80" t="s">
        <v>714</v>
      </c>
      <c r="B40" s="113" t="s">
        <v>715</v>
      </c>
      <c r="C40" s="80" t="s">
        <v>209</v>
      </c>
      <c r="D40" s="80" t="s">
        <v>716</v>
      </c>
      <c r="E40" s="73" t="s">
        <v>217</v>
      </c>
      <c r="F40" s="80" t="s">
        <v>210</v>
      </c>
      <c r="G40" s="80" t="s">
        <v>211</v>
      </c>
      <c r="H40" s="61">
        <f t="shared" si="3"/>
        <v>1</v>
      </c>
      <c r="I40" s="61" t="str">
        <f t="shared" si="4"/>
        <v/>
      </c>
      <c r="J40" s="61" t="str">
        <f t="shared" si="5"/>
        <v/>
      </c>
      <c r="K40" s="61" t="str">
        <f t="shared" si="6"/>
        <v/>
      </c>
      <c r="L40" s="61" t="str">
        <f t="shared" si="7"/>
        <v/>
      </c>
      <c r="M40" s="61" t="str">
        <f t="shared" si="8"/>
        <v/>
      </c>
      <c r="N40" s="61" t="b">
        <f t="shared" si="9"/>
        <v>1</v>
      </c>
      <c r="O40" s="61" t="b">
        <f t="shared" si="35"/>
        <v>1</v>
      </c>
      <c r="P40" s="80">
        <v>1.0</v>
      </c>
      <c r="Q40" s="80">
        <v>1.0</v>
      </c>
      <c r="R40" s="80">
        <v>1.0</v>
      </c>
      <c r="S40" s="61" t="b">
        <f t="shared" si="11"/>
        <v>1</v>
      </c>
      <c r="T40" s="80">
        <v>1.0</v>
      </c>
      <c r="U40" s="80">
        <v>1.0</v>
      </c>
      <c r="V40" s="80">
        <v>1.0</v>
      </c>
      <c r="W40" s="80" t="s">
        <v>717</v>
      </c>
      <c r="X40" s="61" t="str">
        <f t="shared" si="30"/>
        <v/>
      </c>
      <c r="Y40" s="61" t="str">
        <f t="shared" si="12"/>
        <v/>
      </c>
      <c r="Z40" s="114" t="s">
        <v>718</v>
      </c>
      <c r="AA40" s="80" t="s">
        <v>719</v>
      </c>
      <c r="AC40" s="61">
        <f>countif('Charts-SLR'!A:A,AA40)</f>
        <v>1</v>
      </c>
      <c r="AD40" s="80" t="s">
        <v>720</v>
      </c>
      <c r="AE40" s="61">
        <f t="shared" si="13"/>
        <v>0</v>
      </c>
      <c r="AF40" s="80">
        <v>2008.0</v>
      </c>
      <c r="AG40" s="80" t="s">
        <v>216</v>
      </c>
      <c r="AH40" s="80">
        <v>11.0</v>
      </c>
      <c r="AI40" s="108">
        <f t="shared" si="14"/>
        <v>2.75</v>
      </c>
      <c r="AJ40" s="61" t="str">
        <f t="shared" si="15"/>
        <v/>
      </c>
      <c r="AK40" s="61" t="str">
        <f t="shared" si="16"/>
        <v/>
      </c>
      <c r="AL40" s="61">
        <f t="shared" si="17"/>
        <v>11</v>
      </c>
      <c r="AM40" s="61" t="str">
        <f t="shared" si="18"/>
        <v/>
      </c>
      <c r="AN40" s="61" t="str">
        <f t="shared" si="19"/>
        <v/>
      </c>
      <c r="AO40" s="61" t="str">
        <f t="shared" si="20"/>
        <v/>
      </c>
      <c r="AP40" s="80" t="s">
        <v>217</v>
      </c>
      <c r="AQ40" s="80" t="s">
        <v>217</v>
      </c>
      <c r="AV40" s="61">
        <f t="shared" si="21"/>
        <v>2</v>
      </c>
      <c r="AW40" s="80" t="s">
        <v>217</v>
      </c>
      <c r="BD40" s="80" t="s">
        <v>217</v>
      </c>
      <c r="BH40" s="80" t="s">
        <v>217</v>
      </c>
      <c r="BI40" s="80" t="s">
        <v>217</v>
      </c>
      <c r="BJ40" s="80" t="s">
        <v>217</v>
      </c>
      <c r="BM40" s="80" t="s">
        <v>217</v>
      </c>
      <c r="BO40" s="218" t="str">
        <f t="shared" si="37"/>
        <v/>
      </c>
      <c r="BP40" s="61">
        <f t="shared" si="33"/>
        <v>1</v>
      </c>
      <c r="BS40" s="80" t="s">
        <v>217</v>
      </c>
      <c r="BY40" s="80" t="s">
        <v>217</v>
      </c>
      <c r="CJ40" s="80" t="s">
        <v>217</v>
      </c>
      <c r="CM40" s="61">
        <f t="shared" si="22"/>
        <v>1</v>
      </c>
      <c r="CN40" s="80" t="s">
        <v>217</v>
      </c>
      <c r="CP40" s="80" t="s">
        <v>217</v>
      </c>
      <c r="CS40" s="61">
        <f t="shared" si="23"/>
        <v>2</v>
      </c>
      <c r="CT40" s="80" t="s">
        <v>217</v>
      </c>
      <c r="CU40" s="80" t="s">
        <v>217</v>
      </c>
      <c r="CV40" s="61" t="str">
        <f t="shared" si="24"/>
        <v>both</v>
      </c>
      <c r="CW40" s="61" t="str">
        <f t="shared" si="25"/>
        <v/>
      </c>
      <c r="CX40" s="61" t="str">
        <f t="shared" si="26"/>
        <v/>
      </c>
      <c r="DG40" s="80" t="s">
        <v>217</v>
      </c>
      <c r="DH40" s="61" t="str">
        <f t="shared" si="27"/>
        <v/>
      </c>
      <c r="DI40" s="80" t="s">
        <v>217</v>
      </c>
      <c r="DK40" s="61" t="str">
        <f t="shared" si="38"/>
        <v/>
      </c>
      <c r="DL40" s="61" t="str">
        <f t="shared" si="39"/>
        <v/>
      </c>
      <c r="DM40" s="80" t="s">
        <v>217</v>
      </c>
      <c r="DN40" s="80" t="s">
        <v>217</v>
      </c>
      <c r="DS40" s="80" t="s">
        <v>217</v>
      </c>
      <c r="EB40" s="80" t="s">
        <v>721</v>
      </c>
      <c r="ED40" s="80">
        <v>1.0</v>
      </c>
      <c r="EE40" s="80" t="s">
        <v>722</v>
      </c>
      <c r="EF40" s="116"/>
      <c r="EG40" s="80" t="s">
        <v>723</v>
      </c>
      <c r="EI40" s="80" t="s">
        <v>217</v>
      </c>
    </row>
    <row r="41" ht="1.5" customHeight="1">
      <c r="A41" s="80" t="s">
        <v>725</v>
      </c>
      <c r="B41" s="113" t="s">
        <v>726</v>
      </c>
      <c r="C41" s="80" t="s">
        <v>245</v>
      </c>
      <c r="D41" s="80" t="s">
        <v>727</v>
      </c>
      <c r="E41" s="73" t="s">
        <v>217</v>
      </c>
      <c r="F41" s="80" t="s">
        <v>210</v>
      </c>
      <c r="G41" s="80" t="s">
        <v>211</v>
      </c>
      <c r="H41" s="61" t="str">
        <f t="shared" si="3"/>
        <v/>
      </c>
      <c r="I41" s="61" t="str">
        <f t="shared" si="4"/>
        <v/>
      </c>
      <c r="J41" s="61" t="str">
        <f t="shared" si="5"/>
        <v/>
      </c>
      <c r="K41" s="61" t="str">
        <f t="shared" si="6"/>
        <v/>
      </c>
      <c r="L41" s="61">
        <f t="shared" si="7"/>
        <v>1</v>
      </c>
      <c r="M41" s="61" t="str">
        <f t="shared" si="8"/>
        <v/>
      </c>
      <c r="N41" s="61" t="b">
        <f t="shared" si="9"/>
        <v>1</v>
      </c>
      <c r="O41" s="61" t="b">
        <f t="shared" si="35"/>
        <v>1</v>
      </c>
      <c r="P41" s="80">
        <v>1.0</v>
      </c>
      <c r="Q41" s="80">
        <v>1.0</v>
      </c>
      <c r="R41" s="80">
        <v>1.0</v>
      </c>
      <c r="S41" s="61" t="b">
        <f t="shared" si="11"/>
        <v>1</v>
      </c>
      <c r="T41" s="80">
        <v>1.0</v>
      </c>
      <c r="U41" s="80">
        <v>1.0</v>
      </c>
      <c r="V41" s="80">
        <v>1.0</v>
      </c>
      <c r="X41" s="61" t="str">
        <f t="shared" si="30"/>
        <v/>
      </c>
      <c r="Y41" s="61" t="str">
        <f t="shared" si="12"/>
        <v/>
      </c>
      <c r="Z41" s="114" t="s">
        <v>728</v>
      </c>
      <c r="AA41" s="80" t="s">
        <v>266</v>
      </c>
      <c r="AC41" s="61">
        <f>countif('Charts-SLR'!A:A,AA41)</f>
        <v>1</v>
      </c>
      <c r="AD41" s="80" t="s">
        <v>400</v>
      </c>
      <c r="AE41" s="61">
        <f t="shared" si="13"/>
        <v>0</v>
      </c>
      <c r="AF41" s="80">
        <v>2007.0</v>
      </c>
      <c r="AG41" s="80" t="s">
        <v>250</v>
      </c>
      <c r="AH41" s="80">
        <v>48.0</v>
      </c>
      <c r="AI41" s="108">
        <f t="shared" si="14"/>
        <v>9.6</v>
      </c>
      <c r="AJ41" s="61" t="str">
        <f t="shared" si="15"/>
        <v/>
      </c>
      <c r="AK41" s="61">
        <f t="shared" si="16"/>
        <v>48</v>
      </c>
      <c r="AL41" s="61" t="str">
        <f t="shared" si="17"/>
        <v/>
      </c>
      <c r="AM41" s="61" t="str">
        <f t="shared" si="18"/>
        <v/>
      </c>
      <c r="AN41" s="61" t="str">
        <f t="shared" si="19"/>
        <v/>
      </c>
      <c r="AO41" s="61" t="str">
        <f t="shared" si="20"/>
        <v/>
      </c>
      <c r="AP41" s="80" t="s">
        <v>217</v>
      </c>
      <c r="AQ41" s="80" t="s">
        <v>217</v>
      </c>
      <c r="AS41" s="80" t="s">
        <v>217</v>
      </c>
      <c r="AV41" s="61">
        <f t="shared" si="21"/>
        <v>3</v>
      </c>
      <c r="AX41" s="80" t="s">
        <v>217</v>
      </c>
      <c r="BE41" s="80" t="s">
        <v>217</v>
      </c>
      <c r="BG41" s="80" t="s">
        <v>217</v>
      </c>
      <c r="BN41" s="80" t="s">
        <v>217</v>
      </c>
      <c r="BO41" s="218" t="str">
        <f t="shared" si="37"/>
        <v/>
      </c>
      <c r="BP41" s="61">
        <f t="shared" si="33"/>
        <v>2</v>
      </c>
      <c r="BQ41" s="80" t="s">
        <v>217</v>
      </c>
      <c r="BT41" s="80" t="s">
        <v>217</v>
      </c>
      <c r="CD41" s="80" t="s">
        <v>217</v>
      </c>
      <c r="CM41" s="61">
        <f t="shared" si="22"/>
        <v>1</v>
      </c>
      <c r="CO41" s="80" t="s">
        <v>217</v>
      </c>
      <c r="CS41" s="61">
        <f t="shared" si="23"/>
        <v>1</v>
      </c>
      <c r="CU41" s="80" t="s">
        <v>217</v>
      </c>
      <c r="CV41" s="61" t="str">
        <f t="shared" si="24"/>
        <v/>
      </c>
      <c r="CW41" s="61" t="str">
        <f t="shared" si="25"/>
        <v/>
      </c>
      <c r="CX41" s="61" t="str">
        <f t="shared" si="26"/>
        <v>FA</v>
      </c>
      <c r="CY41" s="80" t="s">
        <v>217</v>
      </c>
      <c r="DA41" s="80" t="s">
        <v>217</v>
      </c>
      <c r="DE41" s="80" t="s">
        <v>217</v>
      </c>
      <c r="DG41" s="80" t="s">
        <v>217</v>
      </c>
      <c r="DH41" s="61" t="str">
        <f t="shared" si="27"/>
        <v/>
      </c>
      <c r="DI41" s="80" t="s">
        <v>217</v>
      </c>
      <c r="DK41" s="61" t="str">
        <f t="shared" si="38"/>
        <v/>
      </c>
      <c r="DL41" s="61" t="str">
        <f t="shared" si="39"/>
        <v/>
      </c>
      <c r="DP41" s="80" t="s">
        <v>217</v>
      </c>
      <c r="EB41" s="80" t="s">
        <v>736</v>
      </c>
      <c r="ED41" s="80">
        <v>7.0</v>
      </c>
      <c r="EE41" s="80" t="s">
        <v>737</v>
      </c>
      <c r="EF41" s="112">
        <v>68971.0</v>
      </c>
      <c r="EG41" s="80" t="s">
        <v>738</v>
      </c>
      <c r="EH41" s="80" t="s">
        <v>217</v>
      </c>
      <c r="EJ41" s="80" t="s">
        <v>217</v>
      </c>
    </row>
    <row r="42" ht="1.5" customHeight="1">
      <c r="A42" s="80" t="s">
        <v>740</v>
      </c>
      <c r="B42" s="113" t="s">
        <v>741</v>
      </c>
      <c r="C42" s="80" t="s">
        <v>210</v>
      </c>
      <c r="D42" s="80" t="s">
        <v>742</v>
      </c>
      <c r="E42" s="125" t="s">
        <v>217</v>
      </c>
      <c r="F42" s="80" t="s">
        <v>245</v>
      </c>
      <c r="G42" s="80" t="s">
        <v>211</v>
      </c>
      <c r="H42" s="61" t="str">
        <f t="shared" si="3"/>
        <v/>
      </c>
      <c r="I42" s="61" t="str">
        <f t="shared" si="4"/>
        <v/>
      </c>
      <c r="J42" s="61" t="str">
        <f t="shared" si="5"/>
        <v/>
      </c>
      <c r="K42" s="61">
        <f t="shared" si="6"/>
        <v>1</v>
      </c>
      <c r="L42" s="61" t="str">
        <f t="shared" si="7"/>
        <v/>
      </c>
      <c r="M42" s="61" t="str">
        <f t="shared" si="8"/>
        <v/>
      </c>
      <c r="N42" s="61" t="b">
        <f t="shared" si="9"/>
        <v>1</v>
      </c>
      <c r="O42" s="61" t="b">
        <f t="shared" si="35"/>
        <v>1</v>
      </c>
      <c r="P42" s="80">
        <v>1.0</v>
      </c>
      <c r="Q42" s="80">
        <v>1.0</v>
      </c>
      <c r="R42" s="80">
        <v>1.0</v>
      </c>
      <c r="S42" s="61" t="b">
        <f t="shared" si="11"/>
        <v>1</v>
      </c>
      <c r="T42" s="80">
        <v>1.0</v>
      </c>
      <c r="U42" s="80">
        <v>1.0</v>
      </c>
      <c r="V42" s="80">
        <v>1.0</v>
      </c>
      <c r="X42" s="61" t="str">
        <f t="shared" si="30"/>
        <v/>
      </c>
      <c r="Y42" s="61" t="str">
        <f t="shared" si="12"/>
        <v/>
      </c>
      <c r="Z42" s="114" t="s">
        <v>743</v>
      </c>
      <c r="AA42" s="80" t="s">
        <v>214</v>
      </c>
      <c r="AC42" s="61">
        <f>countif('Charts-SLR'!A:A,AA42)</f>
        <v>1</v>
      </c>
      <c r="AD42" s="80" t="s">
        <v>215</v>
      </c>
      <c r="AE42" s="61">
        <f t="shared" si="13"/>
        <v>0</v>
      </c>
      <c r="AF42" s="80">
        <v>2009.0</v>
      </c>
      <c r="AG42" s="80" t="s">
        <v>268</v>
      </c>
      <c r="AH42" s="80">
        <v>1.0</v>
      </c>
      <c r="AI42" s="108">
        <f t="shared" si="14"/>
        <v>0.3333333333</v>
      </c>
      <c r="AJ42" s="61" t="str">
        <f t="shared" si="15"/>
        <v/>
      </c>
      <c r="AK42" s="61" t="str">
        <f t="shared" si="16"/>
        <v/>
      </c>
      <c r="AL42" s="61" t="str">
        <f t="shared" si="17"/>
        <v/>
      </c>
      <c r="AM42" s="61" t="str">
        <f t="shared" si="18"/>
        <v/>
      </c>
      <c r="AN42" s="61">
        <f t="shared" si="19"/>
        <v>1</v>
      </c>
      <c r="AO42" s="61" t="str">
        <f t="shared" si="20"/>
        <v/>
      </c>
      <c r="AQ42" s="80" t="s">
        <v>217</v>
      </c>
      <c r="AS42" s="80" t="s">
        <v>217</v>
      </c>
      <c r="AV42" s="61">
        <f t="shared" si="21"/>
        <v>2</v>
      </c>
      <c r="AX42" s="80" t="s">
        <v>217</v>
      </c>
      <c r="BD42" s="80" t="s">
        <v>217</v>
      </c>
      <c r="BL42" s="80" t="s">
        <v>217</v>
      </c>
      <c r="BO42" s="80" t="s">
        <v>217</v>
      </c>
      <c r="BP42" s="61">
        <f t="shared" si="33"/>
        <v>3</v>
      </c>
      <c r="BQ42" s="80" t="s">
        <v>217</v>
      </c>
      <c r="BR42" s="80" t="s">
        <v>217</v>
      </c>
      <c r="BS42" s="80" t="s">
        <v>217</v>
      </c>
      <c r="BT42" s="80" t="s">
        <v>217</v>
      </c>
      <c r="CD42" s="80" t="s">
        <v>217</v>
      </c>
      <c r="CF42" s="80" t="s">
        <v>217</v>
      </c>
      <c r="CM42" s="61">
        <f t="shared" si="22"/>
        <v>2</v>
      </c>
      <c r="CR42" s="80" t="s">
        <v>217</v>
      </c>
      <c r="CS42" s="61">
        <f t="shared" si="23"/>
        <v>1</v>
      </c>
      <c r="CU42" s="80" t="s">
        <v>217</v>
      </c>
      <c r="CV42" s="61" t="str">
        <f t="shared" si="24"/>
        <v/>
      </c>
      <c r="CW42" s="61" t="str">
        <f t="shared" si="25"/>
        <v/>
      </c>
      <c r="CX42" s="61" t="str">
        <f t="shared" si="26"/>
        <v>FA</v>
      </c>
      <c r="DG42" s="80" t="s">
        <v>217</v>
      </c>
      <c r="DH42" s="61" t="str">
        <f t="shared" si="27"/>
        <v/>
      </c>
      <c r="DI42" s="80" t="s">
        <v>217</v>
      </c>
      <c r="DK42" s="61" t="str">
        <f t="shared" si="38"/>
        <v/>
      </c>
      <c r="DL42" s="61" t="str">
        <f t="shared" si="39"/>
        <v/>
      </c>
      <c r="DM42" s="80" t="s">
        <v>217</v>
      </c>
      <c r="DO42" s="80" t="s">
        <v>217</v>
      </c>
      <c r="EB42" s="80" t="s">
        <v>748</v>
      </c>
      <c r="EF42" s="116"/>
      <c r="EG42" s="80" t="s">
        <v>749</v>
      </c>
    </row>
    <row r="43" ht="1.5" customHeight="1">
      <c r="A43" s="80" t="s">
        <v>751</v>
      </c>
      <c r="B43" s="113" t="s">
        <v>752</v>
      </c>
      <c r="C43" s="80" t="s">
        <v>245</v>
      </c>
      <c r="D43" s="80" t="s">
        <v>753</v>
      </c>
      <c r="E43" s="73" t="s">
        <v>217</v>
      </c>
      <c r="F43" s="80" t="s">
        <v>210</v>
      </c>
      <c r="G43" s="80" t="s">
        <v>211</v>
      </c>
      <c r="H43" s="61" t="str">
        <f t="shared" si="3"/>
        <v/>
      </c>
      <c r="I43" s="61" t="str">
        <f t="shared" si="4"/>
        <v/>
      </c>
      <c r="J43" s="61" t="str">
        <f t="shared" si="5"/>
        <v/>
      </c>
      <c r="K43" s="61" t="str">
        <f t="shared" si="6"/>
        <v/>
      </c>
      <c r="L43" s="61">
        <f t="shared" si="7"/>
        <v>1</v>
      </c>
      <c r="M43" s="61" t="str">
        <f t="shared" si="8"/>
        <v/>
      </c>
      <c r="N43" s="61" t="b">
        <f t="shared" si="9"/>
        <v>1</v>
      </c>
      <c r="O43" s="61" t="b">
        <f t="shared" si="35"/>
        <v>1</v>
      </c>
      <c r="P43" s="80">
        <v>1.0</v>
      </c>
      <c r="Q43" s="80">
        <v>1.0</v>
      </c>
      <c r="R43" s="80">
        <v>1.0</v>
      </c>
      <c r="S43" s="61" t="b">
        <f t="shared" si="11"/>
        <v>1</v>
      </c>
      <c r="T43" s="80">
        <v>1.0</v>
      </c>
      <c r="U43" s="80">
        <v>1.0</v>
      </c>
      <c r="V43" s="80">
        <v>1.0</v>
      </c>
      <c r="X43" s="61" t="str">
        <f t="shared" si="30"/>
        <v>Sampath:tav06, </v>
      </c>
      <c r="Y43" s="61" t="str">
        <f t="shared" si="12"/>
        <v/>
      </c>
      <c r="Z43" s="114" t="s">
        <v>360</v>
      </c>
      <c r="AA43" s="80" t="s">
        <v>266</v>
      </c>
      <c r="AC43" s="61">
        <f>countif('Charts-SLR'!A:A,AA43)</f>
        <v>1</v>
      </c>
      <c r="AD43" s="80" t="s">
        <v>720</v>
      </c>
      <c r="AE43" s="61">
        <f t="shared" si="13"/>
        <v>0</v>
      </c>
      <c r="AF43" s="80">
        <v>2006.0</v>
      </c>
      <c r="AG43" s="80" t="s">
        <v>216</v>
      </c>
      <c r="AH43" s="80">
        <v>4.0</v>
      </c>
      <c r="AI43" s="108">
        <f t="shared" si="14"/>
        <v>0.6666666667</v>
      </c>
      <c r="AJ43" s="61" t="str">
        <f t="shared" si="15"/>
        <v/>
      </c>
      <c r="AK43" s="61" t="str">
        <f t="shared" si="16"/>
        <v/>
      </c>
      <c r="AL43" s="61">
        <f t="shared" si="17"/>
        <v>4</v>
      </c>
      <c r="AM43" s="61" t="str">
        <f t="shared" si="18"/>
        <v/>
      </c>
      <c r="AN43" s="61" t="str">
        <f t="shared" si="19"/>
        <v/>
      </c>
      <c r="AO43" s="61" t="str">
        <f t="shared" si="20"/>
        <v>Sampath:tav06, </v>
      </c>
      <c r="AU43" s="80" t="s">
        <v>217</v>
      </c>
      <c r="AV43" s="61">
        <f t="shared" si="21"/>
        <v>1</v>
      </c>
      <c r="AX43" s="80" t="s">
        <v>217</v>
      </c>
      <c r="BD43" s="80" t="s">
        <v>217</v>
      </c>
      <c r="BE43" s="80" t="s">
        <v>217</v>
      </c>
      <c r="BL43" s="80" t="s">
        <v>217</v>
      </c>
      <c r="BN43" s="80" t="s">
        <v>217</v>
      </c>
      <c r="BO43" s="218" t="str">
        <f>if(and(BM43="x",BN43="x"), "x", "")</f>
        <v/>
      </c>
      <c r="BP43" s="61">
        <f t="shared" si="33"/>
        <v>2</v>
      </c>
      <c r="BQ43" s="80" t="s">
        <v>217</v>
      </c>
      <c r="BU43" s="80" t="s">
        <v>217</v>
      </c>
      <c r="CB43" s="80" t="s">
        <v>217</v>
      </c>
      <c r="CJ43" s="80" t="s">
        <v>217</v>
      </c>
      <c r="CM43" s="61">
        <f t="shared" si="22"/>
        <v>2</v>
      </c>
      <c r="CR43" s="114" t="s">
        <v>217</v>
      </c>
      <c r="CS43" s="61">
        <f t="shared" si="23"/>
        <v>1</v>
      </c>
      <c r="CU43" s="80" t="s">
        <v>217</v>
      </c>
      <c r="CV43" s="61" t="str">
        <f t="shared" si="24"/>
        <v/>
      </c>
      <c r="CW43" s="61" t="str">
        <f t="shared" si="25"/>
        <v/>
      </c>
      <c r="CX43" s="61" t="str">
        <f t="shared" si="26"/>
        <v>FA</v>
      </c>
      <c r="CY43" s="80" t="s">
        <v>217</v>
      </c>
      <c r="CZ43" s="80" t="s">
        <v>217</v>
      </c>
      <c r="DG43" s="80" t="s">
        <v>217</v>
      </c>
      <c r="DH43" s="61" t="str">
        <f t="shared" si="27"/>
        <v/>
      </c>
      <c r="DI43" s="80" t="s">
        <v>217</v>
      </c>
      <c r="DK43" s="61" t="str">
        <f t="shared" si="38"/>
        <v/>
      </c>
      <c r="DL43" s="61" t="str">
        <f t="shared" si="39"/>
        <v/>
      </c>
      <c r="DP43" s="80" t="s">
        <v>217</v>
      </c>
      <c r="DT43" s="80" t="s">
        <v>217</v>
      </c>
      <c r="ED43" s="80">
        <v>1.0</v>
      </c>
      <c r="EE43" s="80" t="s">
        <v>759</v>
      </c>
      <c r="EF43" s="112">
        <v>8947.0</v>
      </c>
      <c r="EG43" s="80" t="s">
        <v>760</v>
      </c>
      <c r="EJ43" s="80" t="s">
        <v>217</v>
      </c>
    </row>
    <row r="44" ht="1.5" customHeight="1">
      <c r="A44" s="80" t="s">
        <v>762</v>
      </c>
      <c r="B44" s="113" t="s">
        <v>763</v>
      </c>
      <c r="C44" s="80" t="s">
        <v>210</v>
      </c>
      <c r="D44" s="80" t="s">
        <v>764</v>
      </c>
      <c r="E44" s="73" t="s">
        <v>217</v>
      </c>
      <c r="F44" s="80" t="s">
        <v>245</v>
      </c>
      <c r="G44" s="80" t="s">
        <v>211</v>
      </c>
      <c r="H44" s="61" t="str">
        <f t="shared" si="3"/>
        <v/>
      </c>
      <c r="I44" s="61" t="str">
        <f t="shared" si="4"/>
        <v/>
      </c>
      <c r="J44" s="61" t="str">
        <f t="shared" si="5"/>
        <v/>
      </c>
      <c r="K44" s="61">
        <f t="shared" si="6"/>
        <v>1</v>
      </c>
      <c r="L44" s="61" t="str">
        <f t="shared" si="7"/>
        <v/>
      </c>
      <c r="M44" s="61" t="str">
        <f t="shared" si="8"/>
        <v/>
      </c>
      <c r="N44" s="61" t="b">
        <f t="shared" si="9"/>
        <v>1</v>
      </c>
      <c r="O44" s="61" t="b">
        <f t="shared" si="35"/>
        <v>1</v>
      </c>
      <c r="P44" s="80">
        <v>1.0</v>
      </c>
      <c r="Q44" s="80">
        <v>1.0</v>
      </c>
      <c r="R44" s="80">
        <v>1.0</v>
      </c>
      <c r="S44" s="61" t="b">
        <f t="shared" si="11"/>
        <v>1</v>
      </c>
      <c r="T44" s="80">
        <v>1.0</v>
      </c>
      <c r="U44" s="80">
        <v>1.0</v>
      </c>
      <c r="V44" s="80">
        <v>1.0</v>
      </c>
      <c r="X44" s="61" t="str">
        <f t="shared" si="30"/>
        <v/>
      </c>
      <c r="Y44" s="61" t="str">
        <f t="shared" si="12"/>
        <v/>
      </c>
      <c r="Z44" s="114" t="s">
        <v>765</v>
      </c>
      <c r="AA44" s="80" t="s">
        <v>766</v>
      </c>
      <c r="AC44" s="61">
        <f>countif('Charts-SLR'!A:A,AA44)</f>
        <v>1</v>
      </c>
      <c r="AD44" s="80" t="s">
        <v>249</v>
      </c>
      <c r="AE44" s="61">
        <f t="shared" si="13"/>
        <v>0</v>
      </c>
      <c r="AF44" s="80">
        <v>2009.0</v>
      </c>
      <c r="AG44" s="80" t="s">
        <v>250</v>
      </c>
      <c r="AH44" s="61">
        <f>58+3</f>
        <v>61</v>
      </c>
      <c r="AI44" s="108">
        <f t="shared" si="14"/>
        <v>20.33333333</v>
      </c>
      <c r="AJ44" s="61" t="str">
        <f t="shared" si="15"/>
        <v/>
      </c>
      <c r="AK44" s="61">
        <f t="shared" si="16"/>
        <v>61</v>
      </c>
      <c r="AL44" s="61" t="str">
        <f t="shared" si="17"/>
        <v/>
      </c>
      <c r="AM44" s="61" t="str">
        <f t="shared" si="18"/>
        <v/>
      </c>
      <c r="AN44" s="61" t="str">
        <f t="shared" si="19"/>
        <v/>
      </c>
      <c r="AO44" s="61" t="str">
        <f t="shared" si="20"/>
        <v/>
      </c>
      <c r="AP44" s="80" t="s">
        <v>217</v>
      </c>
      <c r="AQ44" s="80" t="s">
        <v>217</v>
      </c>
      <c r="AR44" s="80" t="s">
        <v>217</v>
      </c>
      <c r="AV44" s="61">
        <f t="shared" si="21"/>
        <v>3</v>
      </c>
      <c r="AY44" s="80" t="s">
        <v>217</v>
      </c>
      <c r="BD44" s="80" t="s">
        <v>217</v>
      </c>
      <c r="BF44" s="80" t="s">
        <v>217</v>
      </c>
      <c r="BG44" s="80" t="s">
        <v>217</v>
      </c>
      <c r="BI44" s="80" t="s">
        <v>217</v>
      </c>
      <c r="BJ44" s="80" t="s">
        <v>217</v>
      </c>
      <c r="BK44" s="80" t="s">
        <v>217</v>
      </c>
      <c r="BO44" s="216" t="s">
        <v>217</v>
      </c>
      <c r="BP44" s="61">
        <f t="shared" si="33"/>
        <v>3</v>
      </c>
      <c r="BQ44" s="80" t="s">
        <v>217</v>
      </c>
      <c r="BS44" s="80" t="s">
        <v>217</v>
      </c>
      <c r="BW44" s="80" t="s">
        <v>217</v>
      </c>
      <c r="BY44" s="80" t="s">
        <v>217</v>
      </c>
      <c r="CF44" s="80" t="s">
        <v>217</v>
      </c>
      <c r="CM44" s="61">
        <f t="shared" si="22"/>
        <v>1</v>
      </c>
      <c r="CP44" s="80" t="s">
        <v>217</v>
      </c>
      <c r="CQ44" s="80" t="s">
        <v>217</v>
      </c>
      <c r="CS44" s="61">
        <f t="shared" si="23"/>
        <v>2</v>
      </c>
      <c r="CU44" s="80" t="s">
        <v>217</v>
      </c>
      <c r="CV44" s="61" t="str">
        <f t="shared" si="24"/>
        <v/>
      </c>
      <c r="CW44" s="61" t="str">
        <f t="shared" si="25"/>
        <v/>
      </c>
      <c r="CX44" s="61" t="str">
        <f t="shared" si="26"/>
        <v>FA</v>
      </c>
      <c r="DB44" s="80" t="s">
        <v>217</v>
      </c>
      <c r="DC44" s="80" t="s">
        <v>217</v>
      </c>
      <c r="DG44" s="80" t="s">
        <v>217</v>
      </c>
      <c r="DH44" s="61" t="str">
        <f t="shared" si="27"/>
        <v/>
      </c>
      <c r="DJ44" s="80" t="s">
        <v>217</v>
      </c>
      <c r="DK44" s="61" t="str">
        <f t="shared" si="38"/>
        <v/>
      </c>
      <c r="DL44" s="61" t="str">
        <f t="shared" si="39"/>
        <v/>
      </c>
      <c r="DN44" s="80" t="s">
        <v>217</v>
      </c>
      <c r="DO44" s="80" t="s">
        <v>217</v>
      </c>
      <c r="EB44" s="80" t="s">
        <v>771</v>
      </c>
      <c r="EC44" s="80" t="s">
        <v>217</v>
      </c>
      <c r="ED44" s="80">
        <v>6.0</v>
      </c>
      <c r="EE44" s="80" t="s">
        <v>772</v>
      </c>
      <c r="EF44" s="112">
        <v>33580.0</v>
      </c>
      <c r="EG44" s="80" t="s">
        <v>773</v>
      </c>
      <c r="EI44" s="80" t="s">
        <v>217</v>
      </c>
      <c r="EJ44" s="80" t="s">
        <v>217</v>
      </c>
    </row>
    <row r="45" ht="9.75" customHeight="1">
      <c r="A45" s="80" t="s">
        <v>809</v>
      </c>
      <c r="B45" s="113" t="s">
        <v>810</v>
      </c>
      <c r="C45" s="80" t="s">
        <v>245</v>
      </c>
      <c r="D45" s="80" t="s">
        <v>811</v>
      </c>
      <c r="E45" s="73" t="s">
        <v>217</v>
      </c>
      <c r="F45" s="80" t="s">
        <v>210</v>
      </c>
      <c r="G45" s="80" t="s">
        <v>211</v>
      </c>
      <c r="H45" s="61" t="str">
        <f t="shared" si="3"/>
        <v/>
      </c>
      <c r="I45" s="61" t="str">
        <f t="shared" si="4"/>
        <v/>
      </c>
      <c r="J45" s="61" t="str">
        <f t="shared" si="5"/>
        <v/>
      </c>
      <c r="K45" s="61" t="str">
        <f t="shared" si="6"/>
        <v/>
      </c>
      <c r="L45" s="61">
        <f t="shared" si="7"/>
        <v>1</v>
      </c>
      <c r="M45" s="61" t="str">
        <f t="shared" si="8"/>
        <v/>
      </c>
      <c r="N45" s="61" t="b">
        <f t="shared" si="9"/>
        <v>1</v>
      </c>
      <c r="O45" s="61" t="b">
        <f t="shared" si="35"/>
        <v>1</v>
      </c>
      <c r="P45" s="80">
        <v>1.0</v>
      </c>
      <c r="Q45" s="80">
        <v>1.0</v>
      </c>
      <c r="R45" s="80">
        <v>1.0</v>
      </c>
      <c r="S45" s="61" t="b">
        <f t="shared" si="11"/>
        <v>1</v>
      </c>
      <c r="T45" s="80">
        <v>1.0</v>
      </c>
      <c r="U45" s="80">
        <v>1.0</v>
      </c>
      <c r="V45" s="80">
        <v>1.0</v>
      </c>
      <c r="X45" s="61" t="str">
        <f t="shared" si="30"/>
        <v/>
      </c>
      <c r="Y45" s="61" t="str">
        <f t="shared" si="12"/>
        <v/>
      </c>
      <c r="Z45" s="114" t="s">
        <v>812</v>
      </c>
      <c r="AA45" s="80" t="s">
        <v>266</v>
      </c>
      <c r="AC45" s="61">
        <f>countif('Charts-SLR'!A:A,AA45)</f>
        <v>1</v>
      </c>
      <c r="AD45" s="80" t="s">
        <v>361</v>
      </c>
      <c r="AE45" s="61">
        <f t="shared" si="13"/>
        <v>0</v>
      </c>
      <c r="AF45" s="80">
        <v>2005.0</v>
      </c>
      <c r="AG45" s="80" t="s">
        <v>231</v>
      </c>
      <c r="AH45" s="61">
        <f>158+153</f>
        <v>311</v>
      </c>
      <c r="AI45" s="108">
        <f t="shared" si="14"/>
        <v>44.42857143</v>
      </c>
      <c r="AJ45" s="61">
        <f t="shared" si="15"/>
        <v>311</v>
      </c>
      <c r="AK45" s="61" t="str">
        <f t="shared" si="16"/>
        <v/>
      </c>
      <c r="AL45" s="61" t="str">
        <f t="shared" si="17"/>
        <v/>
      </c>
      <c r="AM45" s="61" t="str">
        <f t="shared" si="18"/>
        <v/>
      </c>
      <c r="AN45" s="61" t="str">
        <f t="shared" si="19"/>
        <v/>
      </c>
      <c r="AO45" s="61" t="str">
        <f t="shared" si="20"/>
        <v/>
      </c>
      <c r="AP45" s="80" t="s">
        <v>217</v>
      </c>
      <c r="AV45" s="61">
        <f t="shared" si="21"/>
        <v>1</v>
      </c>
      <c r="AY45" s="80" t="s">
        <v>217</v>
      </c>
      <c r="BD45" s="80" t="s">
        <v>217</v>
      </c>
      <c r="BE45" s="80" t="s">
        <v>217</v>
      </c>
      <c r="BG45" s="80" t="s">
        <v>217</v>
      </c>
      <c r="BN45" s="80" t="s">
        <v>217</v>
      </c>
      <c r="BO45" s="218" t="str">
        <f t="shared" ref="BO45:BO48" si="40">if(and(BM45="x",BN45="x"), "x", "")</f>
        <v/>
      </c>
      <c r="BP45" s="61">
        <f t="shared" si="33"/>
        <v>2</v>
      </c>
      <c r="BQ45" s="80" t="s">
        <v>217</v>
      </c>
      <c r="BS45" s="80" t="s">
        <v>217</v>
      </c>
      <c r="BT45" s="80" t="s">
        <v>217</v>
      </c>
      <c r="BX45" s="80" t="s">
        <v>217</v>
      </c>
      <c r="CE45" s="80" t="s">
        <v>217</v>
      </c>
      <c r="CM45" s="61">
        <f t="shared" si="22"/>
        <v>1</v>
      </c>
      <c r="CN45" s="80" t="s">
        <v>217</v>
      </c>
      <c r="CO45" s="80" t="s">
        <v>217</v>
      </c>
      <c r="CS45" s="61">
        <f t="shared" si="23"/>
        <v>2</v>
      </c>
      <c r="CU45" s="80" t="s">
        <v>217</v>
      </c>
      <c r="CV45" s="61" t="str">
        <f t="shared" si="24"/>
        <v/>
      </c>
      <c r="CW45" s="61" t="str">
        <f t="shared" si="25"/>
        <v/>
      </c>
      <c r="CX45" s="61" t="str">
        <f t="shared" si="26"/>
        <v>FA</v>
      </c>
      <c r="CY45" s="80" t="s">
        <v>217</v>
      </c>
      <c r="CZ45" s="80" t="s">
        <v>217</v>
      </c>
      <c r="DG45" s="80" t="s">
        <v>217</v>
      </c>
      <c r="DH45" s="61" t="str">
        <f t="shared" si="27"/>
        <v/>
      </c>
      <c r="DI45" s="80" t="s">
        <v>217</v>
      </c>
      <c r="DK45" s="61" t="str">
        <f t="shared" si="38"/>
        <v/>
      </c>
      <c r="DL45" s="61" t="str">
        <f t="shared" si="39"/>
        <v/>
      </c>
      <c r="DO45" s="80" t="s">
        <v>217</v>
      </c>
      <c r="DX45" s="80" t="s">
        <v>217</v>
      </c>
      <c r="ED45" s="80">
        <v>1.0</v>
      </c>
      <c r="EE45" s="80" t="s">
        <v>819</v>
      </c>
      <c r="EF45" s="116"/>
      <c r="EG45" s="80" t="s">
        <v>820</v>
      </c>
      <c r="EI45" s="80" t="s">
        <v>217</v>
      </c>
      <c r="EK45" s="80" t="s">
        <v>1405</v>
      </c>
    </row>
    <row r="46" ht="8.25" customHeight="1">
      <c r="A46" s="80" t="s">
        <v>822</v>
      </c>
      <c r="B46" s="113" t="s">
        <v>823</v>
      </c>
      <c r="C46" s="80" t="s">
        <v>210</v>
      </c>
      <c r="D46" s="80" t="s">
        <v>824</v>
      </c>
      <c r="E46" s="73" t="s">
        <v>217</v>
      </c>
      <c r="F46" s="80" t="s">
        <v>245</v>
      </c>
      <c r="G46" s="80" t="s">
        <v>211</v>
      </c>
      <c r="H46" s="61" t="str">
        <f t="shared" si="3"/>
        <v/>
      </c>
      <c r="I46" s="61" t="str">
        <f t="shared" si="4"/>
        <v/>
      </c>
      <c r="J46" s="61" t="str">
        <f t="shared" si="5"/>
        <v/>
      </c>
      <c r="K46" s="61">
        <f t="shared" si="6"/>
        <v>1</v>
      </c>
      <c r="L46" s="61" t="str">
        <f t="shared" si="7"/>
        <v/>
      </c>
      <c r="M46" s="61" t="str">
        <f t="shared" si="8"/>
        <v/>
      </c>
      <c r="N46" s="61" t="b">
        <f t="shared" si="9"/>
        <v>1</v>
      </c>
      <c r="O46" s="61" t="b">
        <f t="shared" si="35"/>
        <v>1</v>
      </c>
      <c r="P46" s="80">
        <v>1.0</v>
      </c>
      <c r="Q46" s="80">
        <v>1.0</v>
      </c>
      <c r="R46" s="80">
        <v>1.0</v>
      </c>
      <c r="S46" s="61" t="b">
        <f t="shared" si="11"/>
        <v>1</v>
      </c>
      <c r="T46" s="80">
        <v>1.0</v>
      </c>
      <c r="U46" s="80">
        <v>1.0</v>
      </c>
      <c r="V46" s="80">
        <v>1.0</v>
      </c>
      <c r="W46" s="80" t="s">
        <v>825</v>
      </c>
      <c r="X46" s="61" t="str">
        <f t="shared" si="30"/>
        <v/>
      </c>
      <c r="Y46" s="61" t="str">
        <f t="shared" si="12"/>
        <v/>
      </c>
      <c r="Z46" s="114" t="s">
        <v>826</v>
      </c>
      <c r="AA46" s="80" t="s">
        <v>449</v>
      </c>
      <c r="AC46" s="61">
        <f>countif('Charts-SLR'!A:A,AA46)</f>
        <v>1</v>
      </c>
      <c r="AD46" s="80" t="s">
        <v>827</v>
      </c>
      <c r="AE46" s="61">
        <f t="shared" si="13"/>
        <v>0</v>
      </c>
      <c r="AF46" s="80">
        <v>2006.0</v>
      </c>
      <c r="AG46" s="80" t="s">
        <v>250</v>
      </c>
      <c r="AH46" s="80">
        <v>19.0</v>
      </c>
      <c r="AI46" s="108">
        <f t="shared" si="14"/>
        <v>3.166666667</v>
      </c>
      <c r="AJ46" s="61" t="str">
        <f t="shared" si="15"/>
        <v/>
      </c>
      <c r="AK46" s="61">
        <f t="shared" si="16"/>
        <v>19</v>
      </c>
      <c r="AL46" s="61" t="str">
        <f t="shared" si="17"/>
        <v/>
      </c>
      <c r="AM46" s="61" t="str">
        <f t="shared" si="18"/>
        <v/>
      </c>
      <c r="AN46" s="61" t="str">
        <f t="shared" si="19"/>
        <v/>
      </c>
      <c r="AO46" s="61" t="str">
        <f t="shared" si="20"/>
        <v/>
      </c>
      <c r="AP46" s="80" t="s">
        <v>217</v>
      </c>
      <c r="AR46" s="80" t="s">
        <v>217</v>
      </c>
      <c r="AV46" s="61">
        <f t="shared" si="21"/>
        <v>2</v>
      </c>
      <c r="AW46" s="80" t="s">
        <v>217</v>
      </c>
      <c r="BF46" s="80" t="s">
        <v>217</v>
      </c>
      <c r="BK46" s="80" t="s">
        <v>217</v>
      </c>
      <c r="BO46" s="218" t="str">
        <f t="shared" si="40"/>
        <v/>
      </c>
      <c r="BP46" s="61">
        <f t="shared" si="33"/>
        <v>3</v>
      </c>
      <c r="BQ46" s="80" t="s">
        <v>217</v>
      </c>
      <c r="BS46" s="80" t="s">
        <v>217</v>
      </c>
      <c r="BV46" s="80" t="s">
        <v>217</v>
      </c>
      <c r="BW46" s="80" t="s">
        <v>217</v>
      </c>
      <c r="CH46" s="80" t="s">
        <v>217</v>
      </c>
      <c r="CM46" s="61">
        <f t="shared" si="22"/>
        <v>1</v>
      </c>
      <c r="CP46" s="80" t="s">
        <v>217</v>
      </c>
      <c r="CS46" s="61">
        <f t="shared" si="23"/>
        <v>1</v>
      </c>
      <c r="CT46" s="80" t="s">
        <v>217</v>
      </c>
      <c r="CU46" s="80" t="s">
        <v>217</v>
      </c>
      <c r="CV46" s="61" t="str">
        <f t="shared" si="24"/>
        <v>both</v>
      </c>
      <c r="CW46" s="61" t="str">
        <f t="shared" si="25"/>
        <v/>
      </c>
      <c r="CX46" s="61" t="str">
        <f t="shared" si="26"/>
        <v/>
      </c>
      <c r="DD46" s="80" t="s">
        <v>217</v>
      </c>
      <c r="DG46" s="80" t="s">
        <v>217</v>
      </c>
      <c r="DH46" s="61" t="str">
        <f t="shared" si="27"/>
        <v/>
      </c>
      <c r="DI46" s="80" t="s">
        <v>217</v>
      </c>
      <c r="DK46" s="61" t="str">
        <f t="shared" si="38"/>
        <v/>
      </c>
      <c r="DL46" s="61" t="str">
        <f t="shared" si="39"/>
        <v/>
      </c>
      <c r="DQ46" s="80" t="s">
        <v>217</v>
      </c>
      <c r="DZ46" s="80" t="s">
        <v>217</v>
      </c>
      <c r="EF46" s="116"/>
      <c r="EH46" s="80" t="s">
        <v>217</v>
      </c>
    </row>
    <row r="47" ht="3.0" customHeight="1">
      <c r="A47" s="80" t="s">
        <v>831</v>
      </c>
      <c r="B47" s="113" t="s">
        <v>832</v>
      </c>
      <c r="C47" s="80" t="s">
        <v>210</v>
      </c>
      <c r="D47" s="80" t="s">
        <v>833</v>
      </c>
      <c r="E47" s="73" t="s">
        <v>217</v>
      </c>
      <c r="F47" s="80" t="s">
        <v>209</v>
      </c>
      <c r="G47" s="80" t="s">
        <v>211</v>
      </c>
      <c r="H47" s="61" t="str">
        <f t="shared" si="3"/>
        <v/>
      </c>
      <c r="I47" s="61" t="str">
        <f t="shared" si="4"/>
        <v/>
      </c>
      <c r="J47" s="61">
        <f t="shared" si="5"/>
        <v>1</v>
      </c>
      <c r="K47" s="61" t="str">
        <f t="shared" si="6"/>
        <v/>
      </c>
      <c r="L47" s="61" t="str">
        <f t="shared" si="7"/>
        <v/>
      </c>
      <c r="M47" s="61" t="str">
        <f t="shared" si="8"/>
        <v/>
      </c>
      <c r="N47" s="61" t="b">
        <f t="shared" si="9"/>
        <v>1</v>
      </c>
      <c r="O47" s="61" t="b">
        <f t="shared" si="35"/>
        <v>1</v>
      </c>
      <c r="P47" s="80">
        <v>1.0</v>
      </c>
      <c r="Q47" s="80">
        <v>1.0</v>
      </c>
      <c r="R47" s="80">
        <v>1.0</v>
      </c>
      <c r="S47" s="61" t="b">
        <f t="shared" si="11"/>
        <v>1</v>
      </c>
      <c r="T47" s="80">
        <v>1.0</v>
      </c>
      <c r="U47" s="80">
        <v>1.0</v>
      </c>
      <c r="V47" s="80">
        <v>1.0</v>
      </c>
      <c r="X47" s="61" t="str">
        <f t="shared" si="30"/>
        <v/>
      </c>
      <c r="Y47" s="61" t="str">
        <f t="shared" si="12"/>
        <v>Kallepalli:tse01, </v>
      </c>
      <c r="Z47" s="114" t="s">
        <v>834</v>
      </c>
      <c r="AA47" s="80" t="s">
        <v>266</v>
      </c>
      <c r="AC47" s="61">
        <f>countif('Charts-SLR'!A:A,AA47)</f>
        <v>1</v>
      </c>
      <c r="AD47" s="80" t="s">
        <v>361</v>
      </c>
      <c r="AE47" s="61">
        <f t="shared" si="13"/>
        <v>0</v>
      </c>
      <c r="AF47" s="80">
        <v>2001.0</v>
      </c>
      <c r="AG47" s="80" t="s">
        <v>231</v>
      </c>
      <c r="AH47" s="80">
        <v>137.0</v>
      </c>
      <c r="AI47" s="108">
        <f t="shared" si="14"/>
        <v>12.45454545</v>
      </c>
      <c r="AJ47" s="61">
        <f t="shared" si="15"/>
        <v>137</v>
      </c>
      <c r="AK47" s="61" t="str">
        <f t="shared" si="16"/>
        <v/>
      </c>
      <c r="AL47" s="61" t="str">
        <f t="shared" si="17"/>
        <v/>
      </c>
      <c r="AM47" s="61" t="str">
        <f t="shared" si="18"/>
        <v/>
      </c>
      <c r="AN47" s="61" t="str">
        <f t="shared" si="19"/>
        <v/>
      </c>
      <c r="AO47" s="61" t="str">
        <f t="shared" si="20"/>
        <v/>
      </c>
      <c r="AP47" s="80" t="s">
        <v>217</v>
      </c>
      <c r="AR47" s="80" t="s">
        <v>217</v>
      </c>
      <c r="AV47" s="61">
        <f t="shared" si="21"/>
        <v>2</v>
      </c>
      <c r="AX47" s="80" t="s">
        <v>217</v>
      </c>
      <c r="BD47" s="80" t="s">
        <v>217</v>
      </c>
      <c r="BG47" s="80" t="s">
        <v>217</v>
      </c>
      <c r="BL47" s="80" t="s">
        <v>836</v>
      </c>
      <c r="BM47" s="80" t="s">
        <v>217</v>
      </c>
      <c r="BO47" s="218" t="str">
        <f t="shared" si="40"/>
        <v/>
      </c>
      <c r="BP47" s="61">
        <f t="shared" si="33"/>
        <v>1</v>
      </c>
      <c r="BS47" s="80" t="s">
        <v>217</v>
      </c>
      <c r="BV47" s="80" t="s">
        <v>217</v>
      </c>
      <c r="BX47" s="80" t="s">
        <v>217</v>
      </c>
      <c r="BZ47" s="80" t="s">
        <v>217</v>
      </c>
      <c r="CK47" s="80" t="s">
        <v>217</v>
      </c>
      <c r="CL47" s="80" t="s">
        <v>837</v>
      </c>
      <c r="CM47" s="61">
        <f t="shared" si="22"/>
        <v>2</v>
      </c>
      <c r="CO47" s="80" t="s">
        <v>217</v>
      </c>
      <c r="CS47" s="61">
        <f t="shared" si="23"/>
        <v>1</v>
      </c>
      <c r="CT47" s="80" t="s">
        <v>217</v>
      </c>
      <c r="CU47" s="80" t="s">
        <v>217</v>
      </c>
      <c r="CV47" s="61" t="str">
        <f t="shared" si="24"/>
        <v>both</v>
      </c>
      <c r="CW47" s="61" t="str">
        <f t="shared" si="25"/>
        <v/>
      </c>
      <c r="CX47" s="61" t="str">
        <f t="shared" si="26"/>
        <v/>
      </c>
      <c r="DE47" s="80" t="s">
        <v>1406</v>
      </c>
      <c r="DF47" s="80" t="s">
        <v>217</v>
      </c>
      <c r="DH47" s="61" t="str">
        <f t="shared" si="27"/>
        <v/>
      </c>
      <c r="DI47" s="80" t="s">
        <v>217</v>
      </c>
      <c r="DK47" s="61" t="str">
        <f t="shared" si="38"/>
        <v/>
      </c>
      <c r="DL47" s="61" t="str">
        <f t="shared" si="39"/>
        <v/>
      </c>
      <c r="DM47" s="80" t="s">
        <v>217</v>
      </c>
      <c r="DY47" s="80" t="s">
        <v>217</v>
      </c>
      <c r="ED47" s="80">
        <v>1.0</v>
      </c>
      <c r="EE47" s="126" t="s">
        <v>843</v>
      </c>
      <c r="EF47" s="116"/>
      <c r="EJ47" s="80" t="s">
        <v>217</v>
      </c>
    </row>
    <row r="48" ht="1.5" customHeight="1">
      <c r="A48" s="80" t="s">
        <v>845</v>
      </c>
      <c r="B48" s="113" t="s">
        <v>846</v>
      </c>
      <c r="C48" s="80" t="s">
        <v>209</v>
      </c>
      <c r="D48" s="80" t="s">
        <v>847</v>
      </c>
      <c r="E48" s="73" t="s">
        <v>217</v>
      </c>
      <c r="F48" s="80" t="s">
        <v>210</v>
      </c>
      <c r="G48" s="80" t="s">
        <v>211</v>
      </c>
      <c r="H48" s="61">
        <f t="shared" si="3"/>
        <v>1</v>
      </c>
      <c r="I48" s="61" t="str">
        <f t="shared" si="4"/>
        <v/>
      </c>
      <c r="J48" s="61" t="str">
        <f t="shared" si="5"/>
        <v/>
      </c>
      <c r="K48" s="61" t="str">
        <f t="shared" si="6"/>
        <v/>
      </c>
      <c r="L48" s="61" t="str">
        <f t="shared" si="7"/>
        <v/>
      </c>
      <c r="M48" s="61" t="str">
        <f t="shared" si="8"/>
        <v/>
      </c>
      <c r="N48" s="61" t="b">
        <f t="shared" si="9"/>
        <v>1</v>
      </c>
      <c r="O48" s="61" t="b">
        <f t="shared" si="35"/>
        <v>1</v>
      </c>
      <c r="P48" s="80">
        <v>1.0</v>
      </c>
      <c r="Q48" s="80">
        <v>1.0</v>
      </c>
      <c r="R48" s="80">
        <v>1.0</v>
      </c>
      <c r="S48" s="61" t="b">
        <f t="shared" si="11"/>
        <v>1</v>
      </c>
      <c r="T48" s="80">
        <v>1.0</v>
      </c>
      <c r="U48" s="80">
        <v>1.0</v>
      </c>
      <c r="V48" s="80">
        <v>1.0</v>
      </c>
      <c r="X48" s="61" t="str">
        <f t="shared" si="30"/>
        <v/>
      </c>
      <c r="Y48" s="61" t="str">
        <f t="shared" si="12"/>
        <v>Koopman:padl08, </v>
      </c>
      <c r="Z48" s="114" t="s">
        <v>848</v>
      </c>
      <c r="AA48" s="80" t="s">
        <v>766</v>
      </c>
      <c r="AC48" s="61">
        <f>countif('Charts-SLR'!A:A,AA48)</f>
        <v>1</v>
      </c>
      <c r="AD48" s="80" t="s">
        <v>849</v>
      </c>
      <c r="AE48" s="61">
        <f t="shared" si="13"/>
        <v>0</v>
      </c>
      <c r="AF48" s="80">
        <v>2008.0</v>
      </c>
      <c r="AG48" s="80" t="s">
        <v>268</v>
      </c>
      <c r="AH48" s="80">
        <v>1.0</v>
      </c>
      <c r="AI48" s="108">
        <f t="shared" si="14"/>
        <v>0.25</v>
      </c>
      <c r="AJ48" s="61" t="str">
        <f t="shared" si="15"/>
        <v/>
      </c>
      <c r="AK48" s="61" t="str">
        <f t="shared" si="16"/>
        <v/>
      </c>
      <c r="AL48" s="61" t="str">
        <f t="shared" si="17"/>
        <v/>
      </c>
      <c r="AM48" s="61" t="str">
        <f t="shared" si="18"/>
        <v/>
      </c>
      <c r="AN48" s="61">
        <f t="shared" si="19"/>
        <v>1</v>
      </c>
      <c r="AO48" s="61" t="str">
        <f t="shared" si="20"/>
        <v/>
      </c>
      <c r="AP48" s="80" t="s">
        <v>217</v>
      </c>
      <c r="AR48" s="80" t="s">
        <v>217</v>
      </c>
      <c r="AV48" s="61">
        <f t="shared" si="21"/>
        <v>2</v>
      </c>
      <c r="AW48" s="80" t="s">
        <v>217</v>
      </c>
      <c r="BD48" s="80" t="s">
        <v>217</v>
      </c>
      <c r="BG48" s="80" t="s">
        <v>217</v>
      </c>
      <c r="BK48" s="80" t="s">
        <v>217</v>
      </c>
      <c r="BM48" s="80" t="s">
        <v>217</v>
      </c>
      <c r="BO48" s="218" t="str">
        <f t="shared" si="40"/>
        <v/>
      </c>
      <c r="BP48" s="61">
        <f t="shared" si="33"/>
        <v>1</v>
      </c>
      <c r="BS48" s="80" t="s">
        <v>217</v>
      </c>
      <c r="BV48" s="80" t="s">
        <v>217</v>
      </c>
      <c r="BZ48" s="80" t="s">
        <v>217</v>
      </c>
      <c r="CB48" s="80" t="s">
        <v>217</v>
      </c>
      <c r="CK48" s="80" t="s">
        <v>217</v>
      </c>
      <c r="CM48" s="61">
        <f t="shared" si="22"/>
        <v>2</v>
      </c>
      <c r="CN48" s="80" t="s">
        <v>217</v>
      </c>
      <c r="CP48" s="80" t="s">
        <v>217</v>
      </c>
      <c r="CS48" s="61">
        <f t="shared" si="23"/>
        <v>2</v>
      </c>
      <c r="CU48" s="80" t="s">
        <v>217</v>
      </c>
      <c r="CV48" s="61" t="str">
        <f t="shared" si="24"/>
        <v/>
      </c>
      <c r="CW48" s="61" t="str">
        <f t="shared" si="25"/>
        <v/>
      </c>
      <c r="CX48" s="61" t="str">
        <f t="shared" si="26"/>
        <v>FA</v>
      </c>
      <c r="DA48" s="80" t="s">
        <v>217</v>
      </c>
      <c r="DF48" s="80" t="s">
        <v>217</v>
      </c>
      <c r="DH48" s="61" t="str">
        <f t="shared" si="27"/>
        <v/>
      </c>
      <c r="DI48" s="80" t="s">
        <v>217</v>
      </c>
      <c r="DK48" s="61" t="str">
        <f t="shared" si="38"/>
        <v/>
      </c>
      <c r="DL48" s="61" t="str">
        <f t="shared" si="39"/>
        <v/>
      </c>
      <c r="DM48" s="80" t="s">
        <v>217</v>
      </c>
      <c r="DQ48" s="80" t="s">
        <v>217</v>
      </c>
      <c r="DY48" s="80" t="s">
        <v>217</v>
      </c>
      <c r="ED48" s="80">
        <v>2.0</v>
      </c>
      <c r="EE48" s="80" t="s">
        <v>850</v>
      </c>
      <c r="EF48" s="116"/>
      <c r="EH48" s="80" t="s">
        <v>217</v>
      </c>
    </row>
    <row r="49" ht="9.0" customHeight="1">
      <c r="A49" s="80" t="s">
        <v>852</v>
      </c>
      <c r="B49" s="113" t="s">
        <v>853</v>
      </c>
      <c r="C49" s="80" t="s">
        <v>210</v>
      </c>
      <c r="D49" s="80" t="s">
        <v>854</v>
      </c>
      <c r="E49" s="73" t="s">
        <v>217</v>
      </c>
      <c r="F49" s="80" t="s">
        <v>209</v>
      </c>
      <c r="G49" s="80" t="s">
        <v>211</v>
      </c>
      <c r="H49" s="61" t="str">
        <f t="shared" si="3"/>
        <v/>
      </c>
      <c r="I49" s="61" t="str">
        <f t="shared" si="4"/>
        <v/>
      </c>
      <c r="J49" s="61">
        <f t="shared" si="5"/>
        <v>1</v>
      </c>
      <c r="K49" s="61" t="str">
        <f t="shared" si="6"/>
        <v/>
      </c>
      <c r="L49" s="61" t="str">
        <f t="shared" si="7"/>
        <v/>
      </c>
      <c r="M49" s="61" t="str">
        <f t="shared" si="8"/>
        <v/>
      </c>
      <c r="N49" s="61" t="b">
        <f t="shared" si="9"/>
        <v>1</v>
      </c>
      <c r="O49" s="61" t="b">
        <f t="shared" si="35"/>
        <v>1</v>
      </c>
      <c r="P49" s="80">
        <v>1.0</v>
      </c>
      <c r="Q49" s="80">
        <v>1.0</v>
      </c>
      <c r="R49" s="80">
        <v>1.0</v>
      </c>
      <c r="S49" s="61" t="b">
        <f t="shared" si="11"/>
        <v>1</v>
      </c>
      <c r="T49" s="80">
        <v>1.0</v>
      </c>
      <c r="U49" s="80">
        <v>1.0</v>
      </c>
      <c r="V49" s="80">
        <v>1.0</v>
      </c>
      <c r="X49" s="61" t="str">
        <f t="shared" si="30"/>
        <v/>
      </c>
      <c r="Y49" s="61" t="str">
        <f t="shared" si="12"/>
        <v/>
      </c>
      <c r="Z49" s="114" t="s">
        <v>855</v>
      </c>
      <c r="AA49" s="80" t="s">
        <v>856</v>
      </c>
      <c r="AB49" s="80" t="s">
        <v>217</v>
      </c>
      <c r="AC49" s="80">
        <v>1.0</v>
      </c>
      <c r="AD49" s="80" t="s">
        <v>857</v>
      </c>
      <c r="AE49" s="61">
        <f t="shared" si="13"/>
        <v>0</v>
      </c>
      <c r="AF49" s="80">
        <v>2009.0</v>
      </c>
      <c r="AG49" s="80" t="s">
        <v>250</v>
      </c>
      <c r="AH49" s="80">
        <v>8.0</v>
      </c>
      <c r="AI49" s="108">
        <f t="shared" si="14"/>
        <v>2.666666667</v>
      </c>
      <c r="AJ49" s="61" t="str">
        <f t="shared" si="15"/>
        <v/>
      </c>
      <c r="AK49" s="61">
        <f t="shared" si="16"/>
        <v>8</v>
      </c>
      <c r="AL49" s="61" t="str">
        <f t="shared" si="17"/>
        <v/>
      </c>
      <c r="AM49" s="61" t="str">
        <f t="shared" si="18"/>
        <v/>
      </c>
      <c r="AN49" s="61" t="str">
        <f t="shared" si="19"/>
        <v/>
      </c>
      <c r="AO49" s="61" t="str">
        <f t="shared" si="20"/>
        <v/>
      </c>
      <c r="AP49" s="80" t="s">
        <v>217</v>
      </c>
      <c r="AR49" s="80" t="s">
        <v>217</v>
      </c>
      <c r="AV49" s="61">
        <f t="shared" si="21"/>
        <v>2</v>
      </c>
      <c r="AW49" s="80" t="s">
        <v>217</v>
      </c>
      <c r="BD49" s="80" t="s">
        <v>217</v>
      </c>
      <c r="BI49" s="80" t="s">
        <v>217</v>
      </c>
      <c r="BJ49" s="80" t="s">
        <v>217</v>
      </c>
      <c r="BK49" s="80" t="s">
        <v>217</v>
      </c>
      <c r="BO49" s="216" t="s">
        <v>217</v>
      </c>
      <c r="BP49" s="61">
        <f t="shared" si="33"/>
        <v>3</v>
      </c>
      <c r="BQ49" s="80" t="s">
        <v>217</v>
      </c>
      <c r="BR49" s="80" t="s">
        <v>217</v>
      </c>
      <c r="BS49" s="80" t="s">
        <v>217</v>
      </c>
      <c r="BV49" s="80" t="s">
        <v>217</v>
      </c>
      <c r="CK49" s="80" t="s">
        <v>217</v>
      </c>
      <c r="CM49" s="61">
        <f t="shared" si="22"/>
        <v>1</v>
      </c>
      <c r="CP49" s="80" t="s">
        <v>217</v>
      </c>
      <c r="CQ49" s="80" t="s">
        <v>217</v>
      </c>
      <c r="CS49" s="61">
        <f t="shared" si="23"/>
        <v>2</v>
      </c>
      <c r="CT49" s="80" t="s">
        <v>217</v>
      </c>
      <c r="CU49" s="80" t="s">
        <v>217</v>
      </c>
      <c r="CV49" s="61" t="str">
        <f t="shared" si="24"/>
        <v>both</v>
      </c>
      <c r="CW49" s="61" t="str">
        <f t="shared" si="25"/>
        <v/>
      </c>
      <c r="CX49" s="61" t="str">
        <f t="shared" si="26"/>
        <v/>
      </c>
      <c r="DC49" s="80" t="s">
        <v>217</v>
      </c>
      <c r="DG49" s="80" t="s">
        <v>217</v>
      </c>
      <c r="DH49" s="61" t="str">
        <f t="shared" si="27"/>
        <v/>
      </c>
      <c r="DI49" s="80" t="s">
        <v>217</v>
      </c>
      <c r="DK49" s="61" t="str">
        <f t="shared" si="38"/>
        <v/>
      </c>
      <c r="DL49" s="61" t="str">
        <f t="shared" si="39"/>
        <v/>
      </c>
      <c r="DO49" s="80" t="s">
        <v>217</v>
      </c>
      <c r="DZ49" s="80" t="s">
        <v>217</v>
      </c>
      <c r="ED49" s="80">
        <v>1.0</v>
      </c>
      <c r="EE49" s="80" t="s">
        <v>858</v>
      </c>
      <c r="EF49" s="116"/>
      <c r="EJ49" s="80" t="s">
        <v>217</v>
      </c>
    </row>
    <row r="50" ht="3.0" customHeight="1">
      <c r="A50" s="80" t="s">
        <v>860</v>
      </c>
      <c r="B50" s="113" t="s">
        <v>861</v>
      </c>
      <c r="C50" s="80" t="s">
        <v>245</v>
      </c>
      <c r="D50" s="80" t="s">
        <v>862</v>
      </c>
      <c r="E50" s="73" t="s">
        <v>217</v>
      </c>
      <c r="F50" s="80" t="s">
        <v>210</v>
      </c>
      <c r="G50" s="80" t="s">
        <v>211</v>
      </c>
      <c r="H50" s="61" t="str">
        <f t="shared" si="3"/>
        <v/>
      </c>
      <c r="I50" s="61" t="str">
        <f t="shared" si="4"/>
        <v/>
      </c>
      <c r="J50" s="61" t="str">
        <f t="shared" si="5"/>
        <v/>
      </c>
      <c r="K50" s="61" t="str">
        <f t="shared" si="6"/>
        <v/>
      </c>
      <c r="L50" s="61">
        <f t="shared" si="7"/>
        <v>1</v>
      </c>
      <c r="M50" s="61" t="str">
        <f t="shared" si="8"/>
        <v/>
      </c>
      <c r="N50" s="61" t="b">
        <f t="shared" si="9"/>
        <v>1</v>
      </c>
      <c r="O50" s="61" t="b">
        <f t="shared" si="35"/>
        <v>1</v>
      </c>
      <c r="P50" s="80">
        <v>1.0</v>
      </c>
      <c r="Q50" s="80">
        <v>1.0</v>
      </c>
      <c r="R50" s="80">
        <v>1.0</v>
      </c>
      <c r="S50" s="61" t="b">
        <f t="shared" si="11"/>
        <v>1</v>
      </c>
      <c r="T50" s="80">
        <v>1.0</v>
      </c>
      <c r="U50" s="80">
        <v>1.0</v>
      </c>
      <c r="V50" s="80">
        <v>1.0</v>
      </c>
      <c r="X50" s="61" t="str">
        <f t="shared" si="30"/>
        <v/>
      </c>
      <c r="Y50" s="61" t="str">
        <f t="shared" si="12"/>
        <v>Dobolyi:issta10, </v>
      </c>
      <c r="Z50" s="114" t="s">
        <v>863</v>
      </c>
      <c r="AA50" s="80" t="s">
        <v>266</v>
      </c>
      <c r="AC50" s="61">
        <f>countif('Charts-SLR'!A:A,AA50)</f>
        <v>1</v>
      </c>
      <c r="AD50" s="80" t="s">
        <v>677</v>
      </c>
      <c r="AE50" s="61">
        <f t="shared" si="13"/>
        <v>0</v>
      </c>
      <c r="AF50" s="80">
        <v>2010.0</v>
      </c>
      <c r="AG50" s="80" t="s">
        <v>268</v>
      </c>
      <c r="AH50" s="80">
        <v>3.0</v>
      </c>
      <c r="AI50" s="108">
        <f t="shared" si="14"/>
        <v>1.5</v>
      </c>
      <c r="AJ50" s="61" t="str">
        <f t="shared" si="15"/>
        <v/>
      </c>
      <c r="AK50" s="61" t="str">
        <f t="shared" si="16"/>
        <v/>
      </c>
      <c r="AL50" s="61" t="str">
        <f t="shared" si="17"/>
        <v/>
      </c>
      <c r="AM50" s="61" t="str">
        <f t="shared" si="18"/>
        <v/>
      </c>
      <c r="AN50" s="61">
        <f t="shared" si="19"/>
        <v>3</v>
      </c>
      <c r="AO50" s="61" t="str">
        <f t="shared" si="20"/>
        <v>Dobolyi:issta10, </v>
      </c>
      <c r="AU50" s="80" t="s">
        <v>217</v>
      </c>
      <c r="AV50" s="61">
        <f t="shared" si="21"/>
        <v>1</v>
      </c>
      <c r="AY50" s="80" t="s">
        <v>217</v>
      </c>
      <c r="BD50" s="80" t="s">
        <v>217</v>
      </c>
      <c r="BL50" s="80" t="s">
        <v>864</v>
      </c>
      <c r="BM50" s="80" t="s">
        <v>217</v>
      </c>
      <c r="BO50" s="218" t="str">
        <f t="shared" ref="BO50:BO60" si="41">if(and(BM50="x",BN50="x"), "x", "")</f>
        <v/>
      </c>
      <c r="BP50" s="61">
        <f t="shared" si="33"/>
        <v>1</v>
      </c>
      <c r="CH50" s="80" t="s">
        <v>217</v>
      </c>
      <c r="CM50" s="61">
        <f t="shared" si="22"/>
        <v>1</v>
      </c>
      <c r="CR50" s="114" t="s">
        <v>217</v>
      </c>
      <c r="CS50" s="61">
        <f t="shared" si="23"/>
        <v>1</v>
      </c>
      <c r="CV50" s="61" t="str">
        <f t="shared" si="24"/>
        <v/>
      </c>
      <c r="CW50" s="61" t="str">
        <f t="shared" si="25"/>
        <v/>
      </c>
      <c r="CX50" s="61" t="str">
        <f t="shared" si="26"/>
        <v/>
      </c>
      <c r="DC50" s="80" t="s">
        <v>217</v>
      </c>
      <c r="DG50" s="80" t="s">
        <v>217</v>
      </c>
      <c r="DH50" s="61" t="str">
        <f t="shared" si="27"/>
        <v/>
      </c>
      <c r="DJ50" s="80" t="s">
        <v>217</v>
      </c>
      <c r="DK50" s="61" t="str">
        <f t="shared" si="38"/>
        <v/>
      </c>
      <c r="DL50" s="61" t="str">
        <f t="shared" si="39"/>
        <v/>
      </c>
      <c r="DM50" s="80" t="s">
        <v>217</v>
      </c>
      <c r="DY50" s="80" t="s">
        <v>217</v>
      </c>
      <c r="ED50" s="80">
        <v>17.0</v>
      </c>
      <c r="EE50" s="124" t="s">
        <v>482</v>
      </c>
      <c r="EF50" s="116"/>
      <c r="EG50" s="80" t="s">
        <v>869</v>
      </c>
      <c r="EI50" s="80" t="s">
        <v>217</v>
      </c>
    </row>
    <row r="51" ht="9.0" customHeight="1">
      <c r="A51" s="80" t="s">
        <v>871</v>
      </c>
      <c r="B51" s="113" t="s">
        <v>872</v>
      </c>
      <c r="C51" s="80" t="s">
        <v>209</v>
      </c>
      <c r="D51" s="80" t="s">
        <v>873</v>
      </c>
      <c r="E51" s="73" t="s">
        <v>217</v>
      </c>
      <c r="F51" s="80" t="s">
        <v>210</v>
      </c>
      <c r="G51" s="80" t="s">
        <v>211</v>
      </c>
      <c r="H51" s="61">
        <f t="shared" si="3"/>
        <v>1</v>
      </c>
      <c r="I51" s="61" t="str">
        <f t="shared" si="4"/>
        <v/>
      </c>
      <c r="J51" s="61" t="str">
        <f t="shared" si="5"/>
        <v/>
      </c>
      <c r="K51" s="61" t="str">
        <f t="shared" si="6"/>
        <v/>
      </c>
      <c r="L51" s="61" t="str">
        <f t="shared" si="7"/>
        <v/>
      </c>
      <c r="M51" s="61" t="str">
        <f t="shared" si="8"/>
        <v/>
      </c>
      <c r="N51" s="61" t="b">
        <f t="shared" si="9"/>
        <v>1</v>
      </c>
      <c r="O51" s="61" t="b">
        <f t="shared" si="35"/>
        <v>1</v>
      </c>
      <c r="P51" s="80">
        <v>1.0</v>
      </c>
      <c r="Q51" s="80">
        <v>1.0</v>
      </c>
      <c r="R51" s="80">
        <v>1.0</v>
      </c>
      <c r="S51" s="61" t="b">
        <f t="shared" si="11"/>
        <v>1</v>
      </c>
      <c r="T51" s="80">
        <v>1.0</v>
      </c>
      <c r="U51" s="80">
        <v>1.0</v>
      </c>
      <c r="V51" s="80">
        <v>1.0</v>
      </c>
      <c r="X51" s="61" t="str">
        <f t="shared" si="30"/>
        <v/>
      </c>
      <c r="Y51" s="61" t="str">
        <f t="shared" si="12"/>
        <v/>
      </c>
      <c r="Z51" s="114" t="s">
        <v>874</v>
      </c>
      <c r="AA51" s="80" t="s">
        <v>266</v>
      </c>
      <c r="AC51" s="61">
        <f>countif('Charts-SLR'!A:A,AA51)</f>
        <v>1</v>
      </c>
      <c r="AD51" s="80" t="s">
        <v>875</v>
      </c>
      <c r="AE51" s="61">
        <f t="shared" si="13"/>
        <v>0</v>
      </c>
      <c r="AF51" s="80">
        <v>2010.0</v>
      </c>
      <c r="AG51" s="80" t="s">
        <v>231</v>
      </c>
      <c r="AH51" s="80">
        <v>5.0</v>
      </c>
      <c r="AI51" s="108">
        <f t="shared" si="14"/>
        <v>2.5</v>
      </c>
      <c r="AJ51" s="61">
        <f t="shared" si="15"/>
        <v>5</v>
      </c>
      <c r="AK51" s="61" t="str">
        <f t="shared" si="16"/>
        <v/>
      </c>
      <c r="AL51" s="61" t="str">
        <f t="shared" si="17"/>
        <v/>
      </c>
      <c r="AM51" s="61" t="str">
        <f t="shared" si="18"/>
        <v/>
      </c>
      <c r="AN51" s="61" t="str">
        <f t="shared" si="19"/>
        <v/>
      </c>
      <c r="AO51" s="61" t="str">
        <f t="shared" si="20"/>
        <v/>
      </c>
      <c r="AP51" s="80" t="s">
        <v>217</v>
      </c>
      <c r="AR51" s="80" t="s">
        <v>217</v>
      </c>
      <c r="AS51" s="80" t="s">
        <v>217</v>
      </c>
      <c r="AV51" s="61">
        <f t="shared" si="21"/>
        <v>3</v>
      </c>
      <c r="AW51" s="80" t="s">
        <v>217</v>
      </c>
      <c r="BD51" s="80" t="s">
        <v>217</v>
      </c>
      <c r="BG51" s="80" t="s">
        <v>217</v>
      </c>
      <c r="BI51" s="80" t="s">
        <v>217</v>
      </c>
      <c r="BN51" s="80" t="s">
        <v>217</v>
      </c>
      <c r="BO51" s="218" t="str">
        <f t="shared" si="41"/>
        <v/>
      </c>
      <c r="BP51" s="61">
        <f t="shared" si="33"/>
        <v>2</v>
      </c>
      <c r="BR51" s="80" t="s">
        <v>217</v>
      </c>
      <c r="BS51" s="80" t="s">
        <v>217</v>
      </c>
      <c r="BT51" s="80" t="s">
        <v>217</v>
      </c>
      <c r="BY51" s="80" t="s">
        <v>217</v>
      </c>
      <c r="CD51" s="80" t="s">
        <v>217</v>
      </c>
      <c r="CM51" s="61">
        <f t="shared" si="22"/>
        <v>1</v>
      </c>
      <c r="CN51" s="80" t="s">
        <v>217</v>
      </c>
      <c r="CS51" s="61">
        <f t="shared" si="23"/>
        <v>1</v>
      </c>
      <c r="CT51" s="80" t="s">
        <v>217</v>
      </c>
      <c r="CU51" s="80" t="s">
        <v>217</v>
      </c>
      <c r="CV51" s="61" t="str">
        <f t="shared" si="24"/>
        <v>both</v>
      </c>
      <c r="CW51" s="61" t="str">
        <f t="shared" si="25"/>
        <v/>
      </c>
      <c r="CX51" s="61" t="str">
        <f t="shared" si="26"/>
        <v/>
      </c>
      <c r="CY51" s="80" t="s">
        <v>217</v>
      </c>
      <c r="DA51" s="80" t="s">
        <v>217</v>
      </c>
      <c r="DC51" s="80" t="s">
        <v>217</v>
      </c>
      <c r="DG51" s="80" t="s">
        <v>217</v>
      </c>
      <c r="DH51" s="61" t="str">
        <f t="shared" si="27"/>
        <v/>
      </c>
      <c r="DI51" s="80" t="s">
        <v>217</v>
      </c>
      <c r="DK51" s="61" t="str">
        <f t="shared" si="38"/>
        <v/>
      </c>
      <c r="DL51" s="61" t="str">
        <f t="shared" si="39"/>
        <v/>
      </c>
      <c r="DM51" s="80" t="s">
        <v>217</v>
      </c>
      <c r="DT51" s="80" t="s">
        <v>217</v>
      </c>
      <c r="EF51" s="116"/>
      <c r="EG51" s="80" t="s">
        <v>876</v>
      </c>
      <c r="EH51" s="80" t="s">
        <v>217</v>
      </c>
    </row>
    <row r="52" ht="9.0" customHeight="1">
      <c r="A52" s="80" t="s">
        <v>878</v>
      </c>
      <c r="B52" s="113" t="s">
        <v>1407</v>
      </c>
      <c r="C52" s="80" t="s">
        <v>245</v>
      </c>
      <c r="D52" s="80" t="s">
        <v>880</v>
      </c>
      <c r="E52" s="73" t="s">
        <v>217</v>
      </c>
      <c r="F52" s="80" t="s">
        <v>209</v>
      </c>
      <c r="G52" s="80" t="s">
        <v>211</v>
      </c>
      <c r="H52" s="61" t="str">
        <f t="shared" si="3"/>
        <v/>
      </c>
      <c r="I52" s="61" t="str">
        <f t="shared" si="4"/>
        <v/>
      </c>
      <c r="J52" s="61" t="str">
        <f t="shared" si="5"/>
        <v/>
      </c>
      <c r="K52" s="61" t="str">
        <f t="shared" si="6"/>
        <v/>
      </c>
      <c r="L52" s="61" t="str">
        <f t="shared" si="7"/>
        <v/>
      </c>
      <c r="M52" s="61">
        <f t="shared" si="8"/>
        <v>1</v>
      </c>
      <c r="P52" s="80">
        <v>1.0</v>
      </c>
      <c r="T52" s="80">
        <v>1.0</v>
      </c>
      <c r="X52" s="61" t="str">
        <f t="shared" si="30"/>
        <v/>
      </c>
      <c r="Y52" s="61" t="str">
        <f t="shared" si="12"/>
        <v>Jensen:esec11, </v>
      </c>
      <c r="Z52" s="114" t="s">
        <v>882</v>
      </c>
      <c r="AA52" s="80" t="s">
        <v>883</v>
      </c>
      <c r="AC52" s="61">
        <f>countif('Charts-SLR'!A:A,AA52)</f>
        <v>1</v>
      </c>
      <c r="AD52" s="80" t="s">
        <v>400</v>
      </c>
      <c r="AE52" s="61">
        <f t="shared" si="13"/>
        <v>0</v>
      </c>
      <c r="AF52" s="80">
        <v>2011.0</v>
      </c>
      <c r="AG52" s="80" t="s">
        <v>250</v>
      </c>
      <c r="AH52" s="80">
        <v>2.0</v>
      </c>
      <c r="AI52" s="108">
        <f t="shared" si="14"/>
        <v>2</v>
      </c>
      <c r="AJ52" s="61" t="str">
        <f t="shared" si="15"/>
        <v/>
      </c>
      <c r="AK52" s="61">
        <f t="shared" si="16"/>
        <v>2</v>
      </c>
      <c r="AL52" s="61" t="str">
        <f t="shared" si="17"/>
        <v/>
      </c>
      <c r="AM52" s="61" t="str">
        <f t="shared" si="18"/>
        <v/>
      </c>
      <c r="AN52" s="61" t="str">
        <f t="shared" si="19"/>
        <v/>
      </c>
      <c r="AO52" s="61" t="str">
        <f t="shared" si="20"/>
        <v/>
      </c>
      <c r="AQ52" s="80" t="s">
        <v>217</v>
      </c>
      <c r="AR52" s="80" t="s">
        <v>217</v>
      </c>
      <c r="AV52" s="61">
        <f t="shared" si="21"/>
        <v>2</v>
      </c>
      <c r="AX52" s="80" t="s">
        <v>217</v>
      </c>
      <c r="BE52" s="80" t="s">
        <v>217</v>
      </c>
      <c r="BL52" s="80" t="s">
        <v>217</v>
      </c>
      <c r="BM52" s="80" t="s">
        <v>217</v>
      </c>
      <c r="BO52" s="218" t="str">
        <f t="shared" si="41"/>
        <v/>
      </c>
      <c r="BP52" s="61">
        <f t="shared" si="33"/>
        <v>1</v>
      </c>
      <c r="BQ52" s="80" t="s">
        <v>217</v>
      </c>
      <c r="BT52" s="80" t="s">
        <v>217</v>
      </c>
      <c r="BV52" s="80" t="s">
        <v>217</v>
      </c>
      <c r="CD52" s="80" t="s">
        <v>217</v>
      </c>
      <c r="CK52" s="80" t="s">
        <v>217</v>
      </c>
      <c r="CM52" s="61">
        <f t="shared" si="22"/>
        <v>2</v>
      </c>
      <c r="CO52" s="80" t="s">
        <v>217</v>
      </c>
      <c r="CS52" s="61">
        <f t="shared" si="23"/>
        <v>1</v>
      </c>
      <c r="CU52" s="80" t="s">
        <v>217</v>
      </c>
      <c r="CV52" s="61" t="str">
        <f t="shared" si="24"/>
        <v/>
      </c>
      <c r="CW52" s="61" t="str">
        <f t="shared" si="25"/>
        <v/>
      </c>
      <c r="CX52" s="61" t="str">
        <f t="shared" si="26"/>
        <v>FA</v>
      </c>
      <c r="CZ52" s="80" t="s">
        <v>217</v>
      </c>
      <c r="DA52" s="80" t="s">
        <v>217</v>
      </c>
      <c r="DC52" s="80" t="s">
        <v>217</v>
      </c>
      <c r="DG52" s="80" t="s">
        <v>217</v>
      </c>
      <c r="DH52" s="61" t="str">
        <f t="shared" si="27"/>
        <v/>
      </c>
      <c r="DI52" s="80" t="s">
        <v>217</v>
      </c>
      <c r="DK52" s="61" t="str">
        <f t="shared" si="38"/>
        <v/>
      </c>
      <c r="DL52" s="61" t="str">
        <f t="shared" si="39"/>
        <v/>
      </c>
      <c r="DN52" s="80" t="s">
        <v>217</v>
      </c>
      <c r="DO52" s="80" t="s">
        <v>217</v>
      </c>
      <c r="DY52" s="80" t="s">
        <v>217</v>
      </c>
      <c r="EB52" s="80" t="s">
        <v>888</v>
      </c>
      <c r="ED52" s="80">
        <v>53.0</v>
      </c>
      <c r="EE52" s="80" t="s">
        <v>889</v>
      </c>
      <c r="EF52" s="116">
        <f>53*(100+3000)/2</f>
        <v>82150</v>
      </c>
      <c r="EG52" s="80" t="s">
        <v>890</v>
      </c>
      <c r="EH52" s="80" t="s">
        <v>217</v>
      </c>
      <c r="EI52" s="80" t="s">
        <v>217</v>
      </c>
    </row>
    <row r="53" ht="1.5" customHeight="1">
      <c r="A53" s="80" t="s">
        <v>921</v>
      </c>
      <c r="B53" s="113" t="s">
        <v>922</v>
      </c>
      <c r="C53" s="80" t="s">
        <v>245</v>
      </c>
      <c r="D53" s="80" t="s">
        <v>923</v>
      </c>
      <c r="E53" s="73" t="s">
        <v>217</v>
      </c>
      <c r="F53" s="80" t="s">
        <v>209</v>
      </c>
      <c r="G53" s="80" t="s">
        <v>211</v>
      </c>
      <c r="H53" s="61" t="str">
        <f t="shared" si="3"/>
        <v/>
      </c>
      <c r="I53" s="61" t="str">
        <f t="shared" si="4"/>
        <v/>
      </c>
      <c r="J53" s="61" t="str">
        <f t="shared" si="5"/>
        <v/>
      </c>
      <c r="K53" s="61" t="str">
        <f t="shared" si="6"/>
        <v/>
      </c>
      <c r="L53" s="61" t="str">
        <f t="shared" si="7"/>
        <v/>
      </c>
      <c r="M53" s="61">
        <f t="shared" si="8"/>
        <v>1</v>
      </c>
      <c r="N53" s="61" t="b">
        <f t="shared" ref="N53:N81" si="42">and(O53,S53)</f>
        <v>1</v>
      </c>
      <c r="O53" s="61" t="b">
        <f t="shared" ref="O53:O81" si="43">SUM(P53:R53)&gt;=2</f>
        <v>1</v>
      </c>
      <c r="P53" s="80">
        <v>1.0</v>
      </c>
      <c r="Q53" s="80">
        <v>1.0</v>
      </c>
      <c r="R53" s="80">
        <v>1.0</v>
      </c>
      <c r="S53" s="61" t="b">
        <f t="shared" ref="S53:S81" si="44">SUM(T53:V53)&gt;=2</f>
        <v>1</v>
      </c>
      <c r="T53" s="80">
        <v>1.0</v>
      </c>
      <c r="U53" s="80">
        <v>1.0</v>
      </c>
      <c r="V53" s="80">
        <v>1.0</v>
      </c>
      <c r="W53" s="115" t="s">
        <v>924</v>
      </c>
      <c r="X53" s="61" t="str">
        <f t="shared" si="30"/>
        <v/>
      </c>
      <c r="Y53" s="61" t="str">
        <f t="shared" si="12"/>
        <v/>
      </c>
      <c r="Z53" s="114" t="s">
        <v>925</v>
      </c>
      <c r="AA53" s="80" t="s">
        <v>266</v>
      </c>
      <c r="AC53" s="61">
        <f>countif('Charts-SLR'!A:A,AA53)</f>
        <v>1</v>
      </c>
      <c r="AD53" s="80" t="s">
        <v>249</v>
      </c>
      <c r="AE53" s="61">
        <f t="shared" si="13"/>
        <v>0</v>
      </c>
      <c r="AF53" s="80">
        <v>2010.0</v>
      </c>
      <c r="AG53" s="80" t="s">
        <v>250</v>
      </c>
      <c r="AH53" s="80">
        <v>10.0</v>
      </c>
      <c r="AI53" s="108">
        <f t="shared" si="14"/>
        <v>5</v>
      </c>
      <c r="AJ53" s="61" t="str">
        <f t="shared" si="15"/>
        <v/>
      </c>
      <c r="AK53" s="61">
        <f t="shared" si="16"/>
        <v>10</v>
      </c>
      <c r="AL53" s="61" t="str">
        <f t="shared" si="17"/>
        <v/>
      </c>
      <c r="AM53" s="61" t="str">
        <f t="shared" si="18"/>
        <v/>
      </c>
      <c r="AN53" s="61" t="str">
        <f t="shared" si="19"/>
        <v/>
      </c>
      <c r="AO53" s="61" t="str">
        <f t="shared" si="20"/>
        <v/>
      </c>
      <c r="AP53" s="80" t="s">
        <v>217</v>
      </c>
      <c r="AQ53" s="80" t="s">
        <v>217</v>
      </c>
      <c r="AV53" s="61">
        <f t="shared" si="21"/>
        <v>2</v>
      </c>
      <c r="AX53" s="80" t="s">
        <v>217</v>
      </c>
      <c r="BF53" s="80" t="s">
        <v>217</v>
      </c>
      <c r="BG53" s="80" t="s">
        <v>217</v>
      </c>
      <c r="BJ53" s="80" t="s">
        <v>217</v>
      </c>
      <c r="BL53" s="80" t="s">
        <v>926</v>
      </c>
      <c r="BN53" s="80" t="s">
        <v>217</v>
      </c>
      <c r="BO53" s="218" t="str">
        <f t="shared" si="41"/>
        <v/>
      </c>
      <c r="BP53" s="61">
        <f t="shared" si="33"/>
        <v>2</v>
      </c>
      <c r="BQ53" s="80" t="s">
        <v>217</v>
      </c>
      <c r="BT53" s="80" t="s">
        <v>217</v>
      </c>
      <c r="CA53" s="80" t="s">
        <v>217</v>
      </c>
      <c r="CG53" s="80" t="s">
        <v>217</v>
      </c>
      <c r="CM53" s="61">
        <f t="shared" si="22"/>
        <v>1</v>
      </c>
      <c r="CN53" s="80" t="s">
        <v>217</v>
      </c>
      <c r="CS53" s="61">
        <f t="shared" si="23"/>
        <v>1</v>
      </c>
      <c r="CU53" s="80" t="s">
        <v>217</v>
      </c>
      <c r="CV53" s="61" t="str">
        <f t="shared" si="24"/>
        <v/>
      </c>
      <c r="CW53" s="61" t="str">
        <f t="shared" si="25"/>
        <v/>
      </c>
      <c r="CX53" s="61" t="str">
        <f t="shared" si="26"/>
        <v>FA</v>
      </c>
      <c r="DA53" s="80" t="s">
        <v>217</v>
      </c>
      <c r="DC53" s="80" t="s">
        <v>217</v>
      </c>
      <c r="DG53" s="80" t="s">
        <v>217</v>
      </c>
      <c r="DH53" s="61" t="str">
        <f t="shared" si="27"/>
        <v/>
      </c>
      <c r="DI53" s="80" t="s">
        <v>217</v>
      </c>
      <c r="DK53" s="61" t="str">
        <f t="shared" si="38"/>
        <v/>
      </c>
      <c r="DL53" s="61" t="str">
        <f t="shared" si="39"/>
        <v/>
      </c>
      <c r="DP53" s="80" t="s">
        <v>217</v>
      </c>
      <c r="DS53" s="80" t="s">
        <v>217</v>
      </c>
      <c r="EB53" s="80" t="s">
        <v>683</v>
      </c>
      <c r="ED53" s="80">
        <v>4.0</v>
      </c>
      <c r="EE53" s="80" t="s">
        <v>931</v>
      </c>
      <c r="EF53" s="112">
        <v>21102.0</v>
      </c>
      <c r="EG53" s="80" t="s">
        <v>932</v>
      </c>
      <c r="EI53" s="80" t="s">
        <v>217</v>
      </c>
    </row>
    <row r="54" ht="1.5" customHeight="1">
      <c r="A54" s="80" t="s">
        <v>934</v>
      </c>
      <c r="B54" s="113" t="s">
        <v>935</v>
      </c>
      <c r="C54" s="80" t="s">
        <v>245</v>
      </c>
      <c r="D54" s="80" t="s">
        <v>936</v>
      </c>
      <c r="E54" s="73" t="s">
        <v>217</v>
      </c>
      <c r="F54" s="80" t="s">
        <v>209</v>
      </c>
      <c r="G54" s="80" t="s">
        <v>211</v>
      </c>
      <c r="H54" s="61" t="str">
        <f t="shared" si="3"/>
        <v/>
      </c>
      <c r="I54" s="61" t="str">
        <f t="shared" si="4"/>
        <v/>
      </c>
      <c r="J54" s="61" t="str">
        <f t="shared" si="5"/>
        <v/>
      </c>
      <c r="K54" s="61" t="str">
        <f t="shared" si="6"/>
        <v/>
      </c>
      <c r="L54" s="61" t="str">
        <f t="shared" si="7"/>
        <v/>
      </c>
      <c r="M54" s="61">
        <f t="shared" si="8"/>
        <v>1</v>
      </c>
      <c r="N54" s="61" t="b">
        <f t="shared" si="42"/>
        <v>1</v>
      </c>
      <c r="O54" s="61" t="b">
        <f t="shared" si="43"/>
        <v>1</v>
      </c>
      <c r="P54" s="80">
        <v>1.0</v>
      </c>
      <c r="Q54" s="80">
        <v>1.0</v>
      </c>
      <c r="R54" s="80">
        <v>1.0</v>
      </c>
      <c r="S54" s="61" t="b">
        <f t="shared" si="44"/>
        <v>1</v>
      </c>
      <c r="T54" s="80">
        <v>1.0</v>
      </c>
      <c r="U54" s="80">
        <v>1.0</v>
      </c>
      <c r="V54" s="80">
        <v>1.0</v>
      </c>
      <c r="X54" s="61" t="str">
        <f t="shared" si="30"/>
        <v/>
      </c>
      <c r="Y54" s="61" t="str">
        <f t="shared" si="12"/>
        <v/>
      </c>
      <c r="Z54" s="114" t="s">
        <v>937</v>
      </c>
      <c r="AA54" s="80" t="s">
        <v>266</v>
      </c>
      <c r="AC54" s="61">
        <f>countif('Charts-SLR'!A:A,AA54)</f>
        <v>1</v>
      </c>
      <c r="AD54" s="80" t="s">
        <v>677</v>
      </c>
      <c r="AE54" s="61">
        <f t="shared" si="13"/>
        <v>0</v>
      </c>
      <c r="AF54" s="80">
        <v>2009.0</v>
      </c>
      <c r="AG54" s="80" t="s">
        <v>268</v>
      </c>
      <c r="AH54" s="80">
        <v>20.0</v>
      </c>
      <c r="AI54" s="108">
        <f t="shared" si="14"/>
        <v>6.666666667</v>
      </c>
      <c r="AJ54" s="61" t="str">
        <f t="shared" si="15"/>
        <v/>
      </c>
      <c r="AK54" s="61" t="str">
        <f t="shared" si="16"/>
        <v/>
      </c>
      <c r="AL54" s="61" t="str">
        <f t="shared" si="17"/>
        <v/>
      </c>
      <c r="AM54" s="61" t="str">
        <f t="shared" si="18"/>
        <v/>
      </c>
      <c r="AN54" s="61">
        <f t="shared" si="19"/>
        <v>20</v>
      </c>
      <c r="AO54" s="61" t="str">
        <f t="shared" si="20"/>
        <v>halfond:issta'09, </v>
      </c>
      <c r="AU54" s="80" t="s">
        <v>217</v>
      </c>
      <c r="AV54" s="61">
        <f t="shared" si="21"/>
        <v>1</v>
      </c>
      <c r="AX54" s="80" t="s">
        <v>217</v>
      </c>
      <c r="BF54" s="80" t="s">
        <v>217</v>
      </c>
      <c r="BL54" s="80" t="s">
        <v>217</v>
      </c>
      <c r="BN54" s="80" t="s">
        <v>217</v>
      </c>
      <c r="BO54" s="218" t="str">
        <f t="shared" si="41"/>
        <v/>
      </c>
      <c r="BP54" s="61">
        <f t="shared" si="33"/>
        <v>2</v>
      </c>
      <c r="BQ54" s="80" t="s">
        <v>217</v>
      </c>
      <c r="BT54" s="80" t="s">
        <v>217</v>
      </c>
      <c r="CC54" s="80" t="s">
        <v>217</v>
      </c>
      <c r="CM54" s="61">
        <f t="shared" si="22"/>
        <v>1</v>
      </c>
      <c r="CN54" s="80" t="s">
        <v>217</v>
      </c>
      <c r="CR54" s="114" t="s">
        <v>217</v>
      </c>
      <c r="CS54" s="61">
        <f t="shared" si="23"/>
        <v>2</v>
      </c>
      <c r="CU54" s="80" t="s">
        <v>217</v>
      </c>
      <c r="CV54" s="61" t="str">
        <f t="shared" si="24"/>
        <v/>
      </c>
      <c r="CW54" s="61" t="str">
        <f t="shared" si="25"/>
        <v/>
      </c>
      <c r="CX54" s="61" t="str">
        <f t="shared" si="26"/>
        <v>FA</v>
      </c>
      <c r="CY54" s="80" t="s">
        <v>217</v>
      </c>
      <c r="DA54" s="80" t="s">
        <v>217</v>
      </c>
      <c r="DB54" s="80" t="s">
        <v>217</v>
      </c>
      <c r="DG54" s="80" t="s">
        <v>217</v>
      </c>
      <c r="DH54" s="61" t="str">
        <f t="shared" si="27"/>
        <v/>
      </c>
      <c r="DI54" s="80" t="s">
        <v>217</v>
      </c>
      <c r="DK54" s="61" t="str">
        <f t="shared" si="38"/>
        <v/>
      </c>
      <c r="DL54" s="61" t="str">
        <f t="shared" si="39"/>
        <v/>
      </c>
      <c r="DT54" s="80" t="s">
        <v>217</v>
      </c>
      <c r="EB54" s="80" t="s">
        <v>944</v>
      </c>
      <c r="ED54" s="80">
        <v>4.0</v>
      </c>
      <c r="EE54" s="80" t="s">
        <v>945</v>
      </c>
      <c r="EF54" s="112">
        <v>42854.0</v>
      </c>
      <c r="EG54" s="80" t="s">
        <v>946</v>
      </c>
      <c r="EJ54" s="80" t="s">
        <v>217</v>
      </c>
    </row>
    <row r="55" ht="1.5" customHeight="1">
      <c r="A55" s="80" t="s">
        <v>948</v>
      </c>
      <c r="B55" s="113" t="s">
        <v>949</v>
      </c>
      <c r="C55" s="80" t="s">
        <v>209</v>
      </c>
      <c r="D55" s="80" t="s">
        <v>950</v>
      </c>
      <c r="E55" s="73" t="s">
        <v>217</v>
      </c>
      <c r="F55" s="80" t="s">
        <v>210</v>
      </c>
      <c r="G55" s="80" t="s">
        <v>211</v>
      </c>
      <c r="H55" s="61">
        <f t="shared" si="3"/>
        <v>1</v>
      </c>
      <c r="I55" s="61" t="str">
        <f t="shared" si="4"/>
        <v/>
      </c>
      <c r="J55" s="61" t="str">
        <f t="shared" si="5"/>
        <v/>
      </c>
      <c r="K55" s="61" t="str">
        <f t="shared" si="6"/>
        <v/>
      </c>
      <c r="L55" s="61" t="str">
        <f t="shared" si="7"/>
        <v/>
      </c>
      <c r="M55" s="61" t="str">
        <f t="shared" si="8"/>
        <v/>
      </c>
      <c r="N55" s="61" t="b">
        <f t="shared" si="42"/>
        <v>1</v>
      </c>
      <c r="O55" s="61" t="b">
        <f t="shared" si="43"/>
        <v>1</v>
      </c>
      <c r="P55" s="80">
        <v>1.0</v>
      </c>
      <c r="Q55" s="80">
        <v>1.0</v>
      </c>
      <c r="R55" s="80">
        <v>1.0</v>
      </c>
      <c r="S55" s="61" t="b">
        <f t="shared" si="44"/>
        <v>1</v>
      </c>
      <c r="T55" s="80">
        <v>1.0</v>
      </c>
      <c r="U55" s="80">
        <v>1.0</v>
      </c>
      <c r="V55" s="80">
        <v>1.0</v>
      </c>
      <c r="X55" s="61" t="str">
        <f t="shared" si="30"/>
        <v/>
      </c>
      <c r="Y55" s="61" t="str">
        <f t="shared" si="12"/>
        <v/>
      </c>
      <c r="Z55" s="80" t="s">
        <v>951</v>
      </c>
      <c r="AA55" s="80" t="s">
        <v>266</v>
      </c>
      <c r="AC55" s="61">
        <f>countif('Charts-SLR'!A:A,AA55)</f>
        <v>1</v>
      </c>
      <c r="AD55" s="80" t="s">
        <v>267</v>
      </c>
      <c r="AE55" s="61">
        <f t="shared" si="13"/>
        <v>0</v>
      </c>
      <c r="AF55" s="80">
        <v>2008.0</v>
      </c>
      <c r="AG55" s="80" t="s">
        <v>250</v>
      </c>
      <c r="AH55" s="80">
        <v>32.0</v>
      </c>
      <c r="AI55" s="108">
        <f t="shared" si="14"/>
        <v>8</v>
      </c>
      <c r="AJ55" s="61" t="str">
        <f t="shared" si="15"/>
        <v/>
      </c>
      <c r="AK55" s="61">
        <f t="shared" si="16"/>
        <v>32</v>
      </c>
      <c r="AL55" s="61" t="str">
        <f t="shared" si="17"/>
        <v/>
      </c>
      <c r="AM55" s="61" t="str">
        <f t="shared" si="18"/>
        <v/>
      </c>
      <c r="AN55" s="61" t="str">
        <f t="shared" si="19"/>
        <v/>
      </c>
      <c r="AO55" s="61" t="str">
        <f t="shared" si="20"/>
        <v/>
      </c>
      <c r="AP55" s="80" t="s">
        <v>217</v>
      </c>
      <c r="AV55" s="61">
        <f t="shared" si="21"/>
        <v>1</v>
      </c>
      <c r="AY55" s="80" t="s">
        <v>217</v>
      </c>
      <c r="BD55" s="80" t="s">
        <v>217</v>
      </c>
      <c r="BL55" s="80" t="s">
        <v>952</v>
      </c>
      <c r="BN55" s="80" t="s">
        <v>217</v>
      </c>
      <c r="BO55" s="218" t="str">
        <f t="shared" si="41"/>
        <v/>
      </c>
      <c r="BP55" s="61">
        <f t="shared" si="33"/>
        <v>2</v>
      </c>
      <c r="BS55" s="80" t="s">
        <v>217</v>
      </c>
      <c r="BX55" s="80" t="s">
        <v>217</v>
      </c>
      <c r="CL55" s="80" t="s">
        <v>953</v>
      </c>
      <c r="CM55" s="61">
        <f t="shared" si="22"/>
        <v>1</v>
      </c>
      <c r="CR55" s="114" t="s">
        <v>217</v>
      </c>
      <c r="CS55" s="61">
        <f t="shared" si="23"/>
        <v>1</v>
      </c>
      <c r="CU55" s="80" t="s">
        <v>217</v>
      </c>
      <c r="CV55" s="61" t="str">
        <f t="shared" si="24"/>
        <v/>
      </c>
      <c r="CW55" s="61" t="str">
        <f t="shared" si="25"/>
        <v/>
      </c>
      <c r="CX55" s="61" t="str">
        <f t="shared" si="26"/>
        <v>FA</v>
      </c>
      <c r="CZ55" s="80" t="s">
        <v>217</v>
      </c>
      <c r="DG55" s="80" t="s">
        <v>217</v>
      </c>
      <c r="DH55" s="61" t="str">
        <f t="shared" si="27"/>
        <v/>
      </c>
      <c r="DI55" s="80" t="s">
        <v>217</v>
      </c>
      <c r="DK55" s="61" t="str">
        <f t="shared" si="38"/>
        <v/>
      </c>
      <c r="DL55" s="61" t="str">
        <f t="shared" si="39"/>
        <v/>
      </c>
      <c r="DP55" s="80" t="s">
        <v>217</v>
      </c>
      <c r="DT55" s="80" t="s">
        <v>217</v>
      </c>
      <c r="ED55" s="80">
        <v>3.0</v>
      </c>
      <c r="EE55" s="80" t="s">
        <v>959</v>
      </c>
      <c r="EF55" s="116">
        <f>7615+9401+999</f>
        <v>18015</v>
      </c>
      <c r="EG55" s="80" t="s">
        <v>960</v>
      </c>
      <c r="EI55" s="80" t="s">
        <v>217</v>
      </c>
    </row>
    <row r="56" ht="1.5" customHeight="1">
      <c r="A56" s="80" t="s">
        <v>962</v>
      </c>
      <c r="B56" s="113" t="s">
        <v>963</v>
      </c>
      <c r="C56" s="80" t="s">
        <v>210</v>
      </c>
      <c r="D56" s="80" t="s">
        <v>964</v>
      </c>
      <c r="E56" s="73" t="s">
        <v>217</v>
      </c>
      <c r="F56" s="80" t="s">
        <v>209</v>
      </c>
      <c r="G56" s="80" t="s">
        <v>211</v>
      </c>
      <c r="H56" s="61" t="str">
        <f t="shared" si="3"/>
        <v/>
      </c>
      <c r="I56" s="61" t="str">
        <f t="shared" si="4"/>
        <v/>
      </c>
      <c r="J56" s="61">
        <f t="shared" si="5"/>
        <v>1</v>
      </c>
      <c r="K56" s="61" t="str">
        <f t="shared" si="6"/>
        <v/>
      </c>
      <c r="L56" s="61" t="str">
        <f t="shared" si="7"/>
        <v/>
      </c>
      <c r="M56" s="61" t="str">
        <f t="shared" si="8"/>
        <v/>
      </c>
      <c r="N56" s="61" t="b">
        <f t="shared" si="42"/>
        <v>1</v>
      </c>
      <c r="O56" s="61" t="b">
        <f t="shared" si="43"/>
        <v>1</v>
      </c>
      <c r="P56" s="80">
        <v>1.0</v>
      </c>
      <c r="Q56" s="80">
        <v>1.0</v>
      </c>
      <c r="R56" s="80">
        <v>1.0</v>
      </c>
      <c r="S56" s="61" t="b">
        <f t="shared" si="44"/>
        <v>1</v>
      </c>
      <c r="T56" s="80">
        <v>1.0</v>
      </c>
      <c r="U56" s="80">
        <v>1.0</v>
      </c>
      <c r="V56" s="80">
        <v>1.0</v>
      </c>
      <c r="X56" s="61" t="str">
        <f t="shared" si="30"/>
        <v/>
      </c>
      <c r="Y56" s="61" t="str">
        <f t="shared" si="12"/>
        <v>Roest:2010.icst, </v>
      </c>
      <c r="Z56" s="114" t="s">
        <v>965</v>
      </c>
      <c r="AA56" s="80" t="s">
        <v>766</v>
      </c>
      <c r="AC56" s="61">
        <f>countif('Charts-SLR'!A:A,AA56)</f>
        <v>1</v>
      </c>
      <c r="AD56" s="80" t="s">
        <v>267</v>
      </c>
      <c r="AE56" s="61">
        <f t="shared" si="13"/>
        <v>0</v>
      </c>
      <c r="AF56" s="80">
        <v>2010.0</v>
      </c>
      <c r="AG56" s="80" t="s">
        <v>250</v>
      </c>
      <c r="AH56" s="80">
        <v>12.0</v>
      </c>
      <c r="AI56" s="108">
        <f t="shared" si="14"/>
        <v>6</v>
      </c>
      <c r="AJ56" s="61" t="str">
        <f t="shared" si="15"/>
        <v/>
      </c>
      <c r="AK56" s="61">
        <f t="shared" si="16"/>
        <v>12</v>
      </c>
      <c r="AL56" s="61" t="str">
        <f t="shared" si="17"/>
        <v/>
      </c>
      <c r="AM56" s="61" t="str">
        <f t="shared" si="18"/>
        <v/>
      </c>
      <c r="AN56" s="61" t="str">
        <f t="shared" si="19"/>
        <v/>
      </c>
      <c r="AO56" s="61" t="str">
        <f t="shared" si="20"/>
        <v/>
      </c>
      <c r="AP56" s="80" t="s">
        <v>217</v>
      </c>
      <c r="AQ56" s="80" t="s">
        <v>217</v>
      </c>
      <c r="AR56" s="80" t="s">
        <v>217</v>
      </c>
      <c r="AV56" s="61">
        <f t="shared" si="21"/>
        <v>3</v>
      </c>
      <c r="AY56" s="80" t="s">
        <v>217</v>
      </c>
      <c r="BD56" s="80" t="s">
        <v>217</v>
      </c>
      <c r="BG56" s="80" t="s">
        <v>217</v>
      </c>
      <c r="BI56" s="80" t="s">
        <v>217</v>
      </c>
      <c r="BJ56" s="80" t="s">
        <v>217</v>
      </c>
      <c r="BK56" s="80" t="s">
        <v>217</v>
      </c>
      <c r="BM56" s="80" t="s">
        <v>217</v>
      </c>
      <c r="BO56" s="218" t="str">
        <f t="shared" si="41"/>
        <v/>
      </c>
      <c r="BP56" s="61">
        <f t="shared" si="33"/>
        <v>1</v>
      </c>
      <c r="BQ56" s="80" t="s">
        <v>217</v>
      </c>
      <c r="BY56" s="80" t="s">
        <v>217</v>
      </c>
      <c r="CF56" s="80" t="s">
        <v>217</v>
      </c>
      <c r="CM56" s="61">
        <f t="shared" si="22"/>
        <v>1</v>
      </c>
      <c r="CN56" s="80" t="s">
        <v>217</v>
      </c>
      <c r="CQ56" s="80" t="s">
        <v>217</v>
      </c>
      <c r="CS56" s="61">
        <f t="shared" si="23"/>
        <v>2</v>
      </c>
      <c r="CU56" s="80" t="s">
        <v>217</v>
      </c>
      <c r="CV56" s="61" t="str">
        <f t="shared" si="24"/>
        <v/>
      </c>
      <c r="CW56" s="61" t="str">
        <f t="shared" si="25"/>
        <v/>
      </c>
      <c r="CX56" s="61" t="str">
        <f t="shared" si="26"/>
        <v>FA</v>
      </c>
      <c r="DA56" s="80" t="s">
        <v>217</v>
      </c>
      <c r="DE56" s="80" t="s">
        <v>1408</v>
      </c>
      <c r="DG56" s="80" t="s">
        <v>217</v>
      </c>
      <c r="DH56" s="61" t="str">
        <f t="shared" si="27"/>
        <v/>
      </c>
      <c r="DJ56" s="80" t="s">
        <v>217</v>
      </c>
      <c r="DK56" s="61" t="str">
        <f t="shared" si="38"/>
        <v/>
      </c>
      <c r="DL56" s="61" t="str">
        <f t="shared" si="39"/>
        <v/>
      </c>
      <c r="DN56" s="80" t="s">
        <v>217</v>
      </c>
      <c r="DO56" s="80" t="s">
        <v>217</v>
      </c>
      <c r="DY56" s="80" t="s">
        <v>217</v>
      </c>
      <c r="EB56" s="80" t="s">
        <v>971</v>
      </c>
      <c r="EC56" s="80" t="s">
        <v>217</v>
      </c>
      <c r="ED56" s="80">
        <v>2.0</v>
      </c>
      <c r="EE56" s="80" t="s">
        <v>972</v>
      </c>
      <c r="EF56" s="112">
        <v>17016.0</v>
      </c>
      <c r="EG56" s="220" t="s">
        <v>973</v>
      </c>
      <c r="EI56" s="80" t="s">
        <v>217</v>
      </c>
      <c r="EJ56" s="80" t="s">
        <v>217</v>
      </c>
    </row>
    <row r="57" ht="1.5" customHeight="1">
      <c r="A57" s="80" t="s">
        <v>975</v>
      </c>
      <c r="B57" s="113" t="s">
        <v>976</v>
      </c>
      <c r="C57" s="80" t="s">
        <v>245</v>
      </c>
      <c r="D57" s="80" t="s">
        <v>977</v>
      </c>
      <c r="E57" s="73" t="s">
        <v>217</v>
      </c>
      <c r="F57" s="80" t="s">
        <v>210</v>
      </c>
      <c r="G57" s="80" t="s">
        <v>211</v>
      </c>
      <c r="H57" s="61" t="str">
        <f t="shared" si="3"/>
        <v/>
      </c>
      <c r="I57" s="61" t="str">
        <f t="shared" si="4"/>
        <v/>
      </c>
      <c r="J57" s="61" t="str">
        <f t="shared" si="5"/>
        <v/>
      </c>
      <c r="K57" s="61" t="str">
        <f t="shared" si="6"/>
        <v/>
      </c>
      <c r="L57" s="61">
        <f t="shared" si="7"/>
        <v>1</v>
      </c>
      <c r="M57" s="61" t="str">
        <f t="shared" si="8"/>
        <v/>
      </c>
      <c r="N57" s="61" t="b">
        <f t="shared" si="42"/>
        <v>1</v>
      </c>
      <c r="O57" s="61" t="b">
        <f t="shared" si="43"/>
        <v>1</v>
      </c>
      <c r="P57" s="80">
        <v>1.0</v>
      </c>
      <c r="Q57" s="80">
        <v>1.0</v>
      </c>
      <c r="R57" s="80">
        <v>1.0</v>
      </c>
      <c r="S57" s="61" t="b">
        <f t="shared" si="44"/>
        <v>1</v>
      </c>
      <c r="T57" s="80">
        <v>1.0</v>
      </c>
      <c r="U57" s="80">
        <v>1.0</v>
      </c>
      <c r="V57" s="80">
        <v>1.0</v>
      </c>
      <c r="X57" s="61" t="str">
        <f t="shared" si="30"/>
        <v/>
      </c>
      <c r="Y57" s="61" t="str">
        <f t="shared" si="12"/>
        <v>Amalfitano:icstw10, </v>
      </c>
      <c r="Z57" s="114" t="s">
        <v>978</v>
      </c>
      <c r="AA57" s="80" t="s">
        <v>214</v>
      </c>
      <c r="AC57" s="61">
        <f>countif('Charts-SLR'!A:A,AA57)</f>
        <v>1</v>
      </c>
      <c r="AD57" s="80" t="s">
        <v>979</v>
      </c>
      <c r="AE57" s="61">
        <f t="shared" si="13"/>
        <v>0</v>
      </c>
      <c r="AF57" s="80">
        <v>2010.0</v>
      </c>
      <c r="AG57" s="80" t="s">
        <v>216</v>
      </c>
      <c r="AH57" s="80">
        <v>3.0</v>
      </c>
      <c r="AI57" s="108">
        <f t="shared" si="14"/>
        <v>1.5</v>
      </c>
      <c r="AJ57" s="61" t="str">
        <f t="shared" si="15"/>
        <v/>
      </c>
      <c r="AK57" s="61" t="str">
        <f t="shared" si="16"/>
        <v/>
      </c>
      <c r="AL57" s="61">
        <f t="shared" si="17"/>
        <v>3</v>
      </c>
      <c r="AM57" s="61" t="str">
        <f t="shared" si="18"/>
        <v/>
      </c>
      <c r="AN57" s="61" t="str">
        <f t="shared" si="19"/>
        <v/>
      </c>
      <c r="AO57" s="61" t="str">
        <f t="shared" si="20"/>
        <v/>
      </c>
      <c r="AP57" s="80" t="s">
        <v>217</v>
      </c>
      <c r="AQ57" s="80" t="s">
        <v>217</v>
      </c>
      <c r="AV57" s="61">
        <f t="shared" si="21"/>
        <v>2</v>
      </c>
      <c r="AX57" s="80" t="s">
        <v>217</v>
      </c>
      <c r="BD57" s="80" t="s">
        <v>217</v>
      </c>
      <c r="BF57" s="80" t="s">
        <v>217</v>
      </c>
      <c r="BG57" s="80" t="s">
        <v>217</v>
      </c>
      <c r="BL57" s="80" t="s">
        <v>1409</v>
      </c>
      <c r="BM57" s="80" t="s">
        <v>217</v>
      </c>
      <c r="BO57" s="218" t="str">
        <f t="shared" si="41"/>
        <v/>
      </c>
      <c r="BP57" s="61">
        <f t="shared" si="33"/>
        <v>1</v>
      </c>
      <c r="BQ57" s="80" t="s">
        <v>217</v>
      </c>
      <c r="BY57" s="80" t="s">
        <v>217</v>
      </c>
      <c r="BZ57" s="80" t="s">
        <v>217</v>
      </c>
      <c r="CF57" s="80" t="s">
        <v>217</v>
      </c>
      <c r="CM57" s="61">
        <f t="shared" si="22"/>
        <v>1</v>
      </c>
      <c r="CN57" s="80" t="s">
        <v>217</v>
      </c>
      <c r="CS57" s="61">
        <f t="shared" si="23"/>
        <v>1</v>
      </c>
      <c r="CT57" s="80" t="s">
        <v>217</v>
      </c>
      <c r="CU57" s="80" t="s">
        <v>217</v>
      </c>
      <c r="CV57" s="61" t="str">
        <f t="shared" si="24"/>
        <v>both</v>
      </c>
      <c r="CW57" s="61" t="str">
        <f t="shared" si="25"/>
        <v/>
      </c>
      <c r="CX57" s="61" t="str">
        <f t="shared" si="26"/>
        <v/>
      </c>
      <c r="CY57" s="80" t="s">
        <v>217</v>
      </c>
      <c r="CZ57" s="80" t="s">
        <v>217</v>
      </c>
      <c r="DG57" s="80" t="s">
        <v>217</v>
      </c>
      <c r="DH57" s="61" t="str">
        <f t="shared" si="27"/>
        <v/>
      </c>
      <c r="DJ57" s="80" t="s">
        <v>217</v>
      </c>
      <c r="DK57" s="61" t="str">
        <f t="shared" si="38"/>
        <v/>
      </c>
      <c r="DL57" s="61" t="str">
        <f t="shared" si="39"/>
        <v/>
      </c>
      <c r="DN57" s="80" t="s">
        <v>217</v>
      </c>
      <c r="DT57" s="80" t="s">
        <v>217</v>
      </c>
      <c r="DY57" s="80" t="s">
        <v>217</v>
      </c>
      <c r="EB57" s="80" t="s">
        <v>984</v>
      </c>
      <c r="EC57" s="80" t="s">
        <v>217</v>
      </c>
      <c r="ED57" s="80">
        <v>1.0</v>
      </c>
      <c r="EE57" s="80" t="s">
        <v>985</v>
      </c>
      <c r="EF57" s="112">
        <v>10000.0</v>
      </c>
      <c r="EI57" s="80" t="s">
        <v>217</v>
      </c>
    </row>
    <row r="58" ht="29.25" customHeight="1">
      <c r="A58" s="80" t="s">
        <v>987</v>
      </c>
      <c r="B58" s="113" t="s">
        <v>988</v>
      </c>
      <c r="C58" s="80" t="s">
        <v>209</v>
      </c>
      <c r="D58" s="80" t="s">
        <v>989</v>
      </c>
      <c r="E58" s="73" t="s">
        <v>217</v>
      </c>
      <c r="F58" s="80" t="s">
        <v>245</v>
      </c>
      <c r="G58" s="80" t="s">
        <v>211</v>
      </c>
      <c r="H58" s="61" t="str">
        <f t="shared" si="3"/>
        <v/>
      </c>
      <c r="I58" s="61">
        <f t="shared" si="4"/>
        <v>1</v>
      </c>
      <c r="J58" s="61" t="str">
        <f t="shared" si="5"/>
        <v/>
      </c>
      <c r="K58" s="61" t="str">
        <f t="shared" si="6"/>
        <v/>
      </c>
      <c r="L58" s="61" t="str">
        <f t="shared" si="7"/>
        <v/>
      </c>
      <c r="M58" s="61" t="str">
        <f t="shared" si="8"/>
        <v/>
      </c>
      <c r="N58" s="61" t="b">
        <f t="shared" si="42"/>
        <v>1</v>
      </c>
      <c r="O58" s="61" t="b">
        <f t="shared" si="43"/>
        <v>1</v>
      </c>
      <c r="P58" s="80">
        <v>1.0</v>
      </c>
      <c r="Q58" s="80">
        <v>1.0</v>
      </c>
      <c r="R58" s="80">
        <v>1.0</v>
      </c>
      <c r="S58" s="61" t="b">
        <f t="shared" si="44"/>
        <v>1</v>
      </c>
      <c r="T58" s="80">
        <v>1.0</v>
      </c>
      <c r="U58" s="80">
        <v>1.0</v>
      </c>
      <c r="V58" s="80">
        <v>1.0</v>
      </c>
      <c r="X58" s="61" t="str">
        <f t="shared" si="30"/>
        <v/>
      </c>
      <c r="Y58" s="61" t="str">
        <f t="shared" si="12"/>
        <v/>
      </c>
      <c r="Z58" s="114" t="s">
        <v>990</v>
      </c>
      <c r="AA58" s="80" t="s">
        <v>266</v>
      </c>
      <c r="AC58" s="61">
        <f>countif('Charts-SLR'!A:A,AA58)</f>
        <v>1</v>
      </c>
      <c r="AD58" s="80" t="s">
        <v>312</v>
      </c>
      <c r="AE58" s="61">
        <f t="shared" si="13"/>
        <v>0</v>
      </c>
      <c r="AF58" s="80">
        <v>2010.0</v>
      </c>
      <c r="AG58" s="80" t="s">
        <v>231</v>
      </c>
      <c r="AH58" s="80">
        <v>6.0</v>
      </c>
      <c r="AI58" s="108">
        <f t="shared" si="14"/>
        <v>3</v>
      </c>
      <c r="AJ58" s="61">
        <f t="shared" si="15"/>
        <v>6</v>
      </c>
      <c r="AK58" s="61" t="str">
        <f t="shared" si="16"/>
        <v/>
      </c>
      <c r="AL58" s="61" t="str">
        <f t="shared" si="17"/>
        <v/>
      </c>
      <c r="AM58" s="61" t="str">
        <f t="shared" si="18"/>
        <v/>
      </c>
      <c r="AN58" s="61" t="str">
        <f t="shared" si="19"/>
        <v/>
      </c>
      <c r="AO58" s="61" t="str">
        <f t="shared" si="20"/>
        <v/>
      </c>
      <c r="AP58" s="80" t="s">
        <v>217</v>
      </c>
      <c r="AQ58" s="80" t="s">
        <v>217</v>
      </c>
      <c r="AV58" s="61">
        <f t="shared" si="21"/>
        <v>2</v>
      </c>
      <c r="AX58" s="80" t="s">
        <v>217</v>
      </c>
      <c r="BD58" s="80" t="s">
        <v>217</v>
      </c>
      <c r="BG58" s="80" t="s">
        <v>217</v>
      </c>
      <c r="BI58" s="80" t="s">
        <v>217</v>
      </c>
      <c r="BN58" s="80" t="s">
        <v>217</v>
      </c>
      <c r="BO58" s="218" t="str">
        <f t="shared" si="41"/>
        <v/>
      </c>
      <c r="BP58" s="61">
        <f t="shared" si="33"/>
        <v>2</v>
      </c>
      <c r="BS58" s="80" t="s">
        <v>217</v>
      </c>
      <c r="BZ58" s="80" t="s">
        <v>217</v>
      </c>
      <c r="CK58" s="80" t="s">
        <v>217</v>
      </c>
      <c r="CM58" s="61">
        <f t="shared" si="22"/>
        <v>1</v>
      </c>
      <c r="CN58" s="80" t="s">
        <v>217</v>
      </c>
      <c r="CS58" s="61">
        <f t="shared" si="23"/>
        <v>1</v>
      </c>
      <c r="CT58" s="80" t="s">
        <v>217</v>
      </c>
      <c r="CU58" s="80" t="s">
        <v>217</v>
      </c>
      <c r="CV58" s="61" t="str">
        <f t="shared" si="24"/>
        <v>both</v>
      </c>
      <c r="CW58" s="61" t="str">
        <f t="shared" si="25"/>
        <v/>
      </c>
      <c r="CX58" s="61" t="str">
        <f t="shared" si="26"/>
        <v/>
      </c>
      <c r="DA58" s="80" t="s">
        <v>217</v>
      </c>
      <c r="DG58" s="80" t="s">
        <v>217</v>
      </c>
      <c r="DH58" s="61" t="str">
        <f t="shared" si="27"/>
        <v/>
      </c>
      <c r="DI58" s="80" t="s">
        <v>217</v>
      </c>
      <c r="DK58" s="61" t="str">
        <f t="shared" si="38"/>
        <v/>
      </c>
      <c r="DL58" s="61" t="str">
        <f t="shared" si="39"/>
        <v/>
      </c>
      <c r="DQ58" s="80" t="s">
        <v>217</v>
      </c>
      <c r="DZ58" s="80" t="s">
        <v>217</v>
      </c>
      <c r="EB58" s="80" t="s">
        <v>995</v>
      </c>
      <c r="ED58" s="80">
        <v>2.0</v>
      </c>
      <c r="EE58" s="80" t="s">
        <v>996</v>
      </c>
      <c r="EF58" s="116"/>
      <c r="EG58" s="80" t="s">
        <v>997</v>
      </c>
    </row>
    <row r="59" ht="1.5" customHeight="1">
      <c r="A59" s="80" t="s">
        <v>999</v>
      </c>
      <c r="B59" s="113" t="s">
        <v>1000</v>
      </c>
      <c r="C59" s="80" t="s">
        <v>210</v>
      </c>
      <c r="D59" s="80" t="s">
        <v>1001</v>
      </c>
      <c r="E59" s="73" t="s">
        <v>217</v>
      </c>
      <c r="F59" s="80" t="s">
        <v>209</v>
      </c>
      <c r="G59" s="80" t="s">
        <v>211</v>
      </c>
      <c r="H59" s="61" t="str">
        <f t="shared" si="3"/>
        <v/>
      </c>
      <c r="I59" s="61" t="str">
        <f t="shared" si="4"/>
        <v/>
      </c>
      <c r="J59" s="61">
        <f t="shared" si="5"/>
        <v>1</v>
      </c>
      <c r="K59" s="61" t="str">
        <f t="shared" si="6"/>
        <v/>
      </c>
      <c r="L59" s="61" t="str">
        <f t="shared" si="7"/>
        <v/>
      </c>
      <c r="M59" s="61" t="str">
        <f t="shared" si="8"/>
        <v/>
      </c>
      <c r="N59" s="61" t="b">
        <f t="shared" si="42"/>
        <v>1</v>
      </c>
      <c r="O59" s="61" t="b">
        <f t="shared" si="43"/>
        <v>1</v>
      </c>
      <c r="P59" s="80">
        <v>1.0</v>
      </c>
      <c r="Q59" s="80">
        <v>1.0</v>
      </c>
      <c r="R59" s="80">
        <v>1.0</v>
      </c>
      <c r="S59" s="61" t="b">
        <f t="shared" si="44"/>
        <v>1</v>
      </c>
      <c r="T59" s="80">
        <v>1.0</v>
      </c>
      <c r="U59" s="80">
        <v>1.0</v>
      </c>
      <c r="V59" s="80">
        <v>1.0</v>
      </c>
      <c r="X59" s="61" t="str">
        <f t="shared" si="30"/>
        <v/>
      </c>
      <c r="Y59" s="61" t="str">
        <f t="shared" si="12"/>
        <v/>
      </c>
      <c r="Z59" s="114" t="s">
        <v>1002</v>
      </c>
      <c r="AA59" s="80" t="s">
        <v>214</v>
      </c>
      <c r="AC59" s="61">
        <f>countif('Charts-SLR'!A:A,AA59)</f>
        <v>1</v>
      </c>
      <c r="AD59" s="80" t="s">
        <v>267</v>
      </c>
      <c r="AE59" s="61">
        <f t="shared" si="13"/>
        <v>0</v>
      </c>
      <c r="AF59" s="80">
        <v>2008.0</v>
      </c>
      <c r="AG59" s="80" t="s">
        <v>250</v>
      </c>
      <c r="AH59" s="80">
        <v>54.0</v>
      </c>
      <c r="AI59" s="108">
        <f t="shared" si="14"/>
        <v>13.5</v>
      </c>
      <c r="AJ59" s="61" t="str">
        <f t="shared" si="15"/>
        <v/>
      </c>
      <c r="AK59" s="61">
        <f t="shared" si="16"/>
        <v>54</v>
      </c>
      <c r="AL59" s="61" t="str">
        <f t="shared" si="17"/>
        <v/>
      </c>
      <c r="AM59" s="61" t="str">
        <f t="shared" si="18"/>
        <v/>
      </c>
      <c r="AN59" s="61" t="str">
        <f t="shared" si="19"/>
        <v/>
      </c>
      <c r="AO59" s="61" t="str">
        <f t="shared" si="20"/>
        <v/>
      </c>
      <c r="AP59" s="80" t="s">
        <v>217</v>
      </c>
      <c r="AR59" s="80" t="s">
        <v>217</v>
      </c>
      <c r="AV59" s="61">
        <f t="shared" si="21"/>
        <v>2</v>
      </c>
      <c r="AX59" s="80" t="s">
        <v>217</v>
      </c>
      <c r="BD59" s="80" t="s">
        <v>217</v>
      </c>
      <c r="BG59" s="80" t="s">
        <v>217</v>
      </c>
      <c r="BI59" s="80" t="s">
        <v>217</v>
      </c>
      <c r="BJ59" s="80" t="s">
        <v>217</v>
      </c>
      <c r="BM59" s="80" t="s">
        <v>217</v>
      </c>
      <c r="BO59" s="218" t="str">
        <f t="shared" si="41"/>
        <v/>
      </c>
      <c r="BP59" s="61">
        <f t="shared" si="33"/>
        <v>1</v>
      </c>
      <c r="BQ59" s="80" t="s">
        <v>217</v>
      </c>
      <c r="BY59" s="80" t="s">
        <v>217</v>
      </c>
      <c r="CA59" s="80" t="s">
        <v>187</v>
      </c>
      <c r="CD59" s="80" t="s">
        <v>217</v>
      </c>
      <c r="CK59" s="80" t="s">
        <v>217</v>
      </c>
      <c r="CM59" s="61">
        <f t="shared" si="22"/>
        <v>2</v>
      </c>
      <c r="CN59" s="80" t="s">
        <v>217</v>
      </c>
      <c r="CQ59" s="80" t="s">
        <v>217</v>
      </c>
      <c r="CS59" s="61">
        <f t="shared" si="23"/>
        <v>2</v>
      </c>
      <c r="CT59" s="80" t="s">
        <v>217</v>
      </c>
      <c r="CU59" s="80" t="s">
        <v>217</v>
      </c>
      <c r="CV59" s="61" t="str">
        <f t="shared" si="24"/>
        <v>both</v>
      </c>
      <c r="CW59" s="61" t="str">
        <f t="shared" si="25"/>
        <v/>
      </c>
      <c r="CX59" s="61" t="str">
        <f t="shared" si="26"/>
        <v/>
      </c>
      <c r="CZ59" s="80" t="s">
        <v>217</v>
      </c>
      <c r="DG59" s="80" t="s">
        <v>217</v>
      </c>
      <c r="DH59" s="61" t="str">
        <f t="shared" si="27"/>
        <v/>
      </c>
      <c r="DJ59" s="80" t="s">
        <v>217</v>
      </c>
      <c r="DK59" s="61" t="str">
        <f t="shared" si="38"/>
        <v/>
      </c>
      <c r="DL59" s="61" t="str">
        <f t="shared" si="39"/>
        <v/>
      </c>
      <c r="DN59" s="80" t="s">
        <v>217</v>
      </c>
      <c r="DO59" s="80" t="s">
        <v>217</v>
      </c>
      <c r="DT59" s="80" t="s">
        <v>217</v>
      </c>
      <c r="EB59" s="80" t="s">
        <v>1006</v>
      </c>
      <c r="ED59" s="80">
        <v>1.0</v>
      </c>
      <c r="EE59" s="80" t="s">
        <v>985</v>
      </c>
      <c r="EF59" s="112">
        <v>10000.0</v>
      </c>
      <c r="EI59" s="80" t="s">
        <v>217</v>
      </c>
    </row>
    <row r="60" ht="1.5" customHeight="1">
      <c r="A60" s="80" t="s">
        <v>1032</v>
      </c>
      <c r="B60" s="113" t="s">
        <v>1033</v>
      </c>
      <c r="C60" s="80" t="s">
        <v>209</v>
      </c>
      <c r="D60" s="80" t="s">
        <v>1034</v>
      </c>
      <c r="E60" s="73" t="s">
        <v>217</v>
      </c>
      <c r="F60" s="80" t="s">
        <v>210</v>
      </c>
      <c r="G60" s="80" t="s">
        <v>211</v>
      </c>
      <c r="H60" s="61">
        <f t="shared" si="3"/>
        <v>1</v>
      </c>
      <c r="I60" s="61" t="str">
        <f t="shared" si="4"/>
        <v/>
      </c>
      <c r="J60" s="61" t="str">
        <f t="shared" si="5"/>
        <v/>
      </c>
      <c r="K60" s="61" t="str">
        <f t="shared" si="6"/>
        <v/>
      </c>
      <c r="L60" s="61" t="str">
        <f t="shared" si="7"/>
        <v/>
      </c>
      <c r="M60" s="61" t="str">
        <f t="shared" si="8"/>
        <v/>
      </c>
      <c r="N60" s="61" t="b">
        <f t="shared" si="42"/>
        <v>1</v>
      </c>
      <c r="O60" s="61" t="b">
        <f t="shared" si="43"/>
        <v>1</v>
      </c>
      <c r="P60" s="80">
        <v>1.0</v>
      </c>
      <c r="Q60" s="80">
        <v>1.0</v>
      </c>
      <c r="R60" s="80">
        <v>1.0</v>
      </c>
      <c r="S60" s="61" t="b">
        <f t="shared" si="44"/>
        <v>1</v>
      </c>
      <c r="T60" s="80">
        <v>1.0</v>
      </c>
      <c r="U60" s="80">
        <v>1.0</v>
      </c>
      <c r="V60" s="80">
        <v>1.0</v>
      </c>
      <c r="X60" s="61" t="str">
        <f t="shared" si="30"/>
        <v/>
      </c>
      <c r="Y60" s="61" t="str">
        <f t="shared" si="12"/>
        <v/>
      </c>
      <c r="Z60" s="114" t="s">
        <v>1035</v>
      </c>
      <c r="AA60" s="80" t="s">
        <v>1036</v>
      </c>
      <c r="AC60" s="61">
        <f>countif('Charts-SLR'!A:A,AA60)</f>
        <v>1</v>
      </c>
      <c r="AD60" s="80" t="s">
        <v>1037</v>
      </c>
      <c r="AE60" s="61">
        <f t="shared" si="13"/>
        <v>0</v>
      </c>
      <c r="AF60" s="80">
        <v>2005.0</v>
      </c>
      <c r="AG60" s="80" t="s">
        <v>250</v>
      </c>
      <c r="AH60" s="80">
        <v>131.0</v>
      </c>
      <c r="AI60" s="108">
        <f t="shared" si="14"/>
        <v>18.71428571</v>
      </c>
      <c r="AJ60" s="61" t="str">
        <f t="shared" si="15"/>
        <v/>
      </c>
      <c r="AK60" s="61">
        <f t="shared" si="16"/>
        <v>131</v>
      </c>
      <c r="AL60" s="61" t="str">
        <f t="shared" si="17"/>
        <v/>
      </c>
      <c r="AM60" s="61" t="str">
        <f t="shared" si="18"/>
        <v/>
      </c>
      <c r="AN60" s="61" t="str">
        <f t="shared" si="19"/>
        <v/>
      </c>
      <c r="AO60" s="61" t="str">
        <f t="shared" si="20"/>
        <v/>
      </c>
      <c r="AP60" s="80" t="s">
        <v>217</v>
      </c>
      <c r="AQ60" s="80" t="s">
        <v>217</v>
      </c>
      <c r="AV60" s="61">
        <f t="shared" si="21"/>
        <v>2</v>
      </c>
      <c r="AW60" s="80" t="s">
        <v>217</v>
      </c>
      <c r="BE60" s="80" t="s">
        <v>217</v>
      </c>
      <c r="BG60" s="80" t="s">
        <v>217</v>
      </c>
      <c r="BN60" s="80" t="s">
        <v>217</v>
      </c>
      <c r="BO60" s="218" t="str">
        <f t="shared" si="41"/>
        <v/>
      </c>
      <c r="BP60" s="61">
        <f t="shared" si="33"/>
        <v>2</v>
      </c>
      <c r="BS60" s="80" t="s">
        <v>217</v>
      </c>
      <c r="BT60" s="80" t="s">
        <v>217</v>
      </c>
      <c r="CD60" s="80" t="s">
        <v>217</v>
      </c>
      <c r="CH60" s="80" t="s">
        <v>217</v>
      </c>
      <c r="CM60" s="61">
        <f t="shared" si="22"/>
        <v>2</v>
      </c>
      <c r="CR60" s="114" t="s">
        <v>217</v>
      </c>
      <c r="CS60" s="61">
        <f t="shared" si="23"/>
        <v>1</v>
      </c>
      <c r="CU60" s="80" t="s">
        <v>217</v>
      </c>
      <c r="CV60" s="61" t="str">
        <f t="shared" si="24"/>
        <v/>
      </c>
      <c r="CW60" s="61" t="str">
        <f t="shared" si="25"/>
        <v/>
      </c>
      <c r="CX60" s="61" t="str">
        <f t="shared" si="26"/>
        <v>FA</v>
      </c>
      <c r="DA60" s="80" t="s">
        <v>217</v>
      </c>
      <c r="DG60" s="80" t="s">
        <v>217</v>
      </c>
      <c r="DH60" s="61" t="str">
        <f t="shared" si="27"/>
        <v/>
      </c>
      <c r="DI60" s="80" t="s">
        <v>217</v>
      </c>
      <c r="DK60" s="61" t="str">
        <f t="shared" si="38"/>
        <v/>
      </c>
      <c r="DL60" s="61" t="str">
        <f t="shared" si="39"/>
        <v/>
      </c>
      <c r="DP60" s="80" t="s">
        <v>217</v>
      </c>
      <c r="DS60" s="80" t="s">
        <v>217</v>
      </c>
      <c r="EB60" s="80" t="s">
        <v>1038</v>
      </c>
      <c r="ED60" s="80">
        <v>6.0</v>
      </c>
      <c r="EE60" s="80" t="s">
        <v>1039</v>
      </c>
      <c r="EF60" s="112">
        <v>13230.0</v>
      </c>
      <c r="EI60" s="80" t="s">
        <v>217</v>
      </c>
    </row>
    <row r="61" ht="1.5" customHeight="1">
      <c r="A61" s="80" t="s">
        <v>1041</v>
      </c>
      <c r="B61" s="113" t="s">
        <v>1042</v>
      </c>
      <c r="C61" s="80" t="s">
        <v>245</v>
      </c>
      <c r="D61" s="80" t="s">
        <v>1043</v>
      </c>
      <c r="E61" s="73" t="s">
        <v>217</v>
      </c>
      <c r="F61" s="80" t="s">
        <v>210</v>
      </c>
      <c r="G61" s="80" t="s">
        <v>211</v>
      </c>
      <c r="H61" s="61" t="str">
        <f t="shared" si="3"/>
        <v/>
      </c>
      <c r="I61" s="61" t="str">
        <f t="shared" si="4"/>
        <v/>
      </c>
      <c r="J61" s="61" t="str">
        <f t="shared" si="5"/>
        <v/>
      </c>
      <c r="K61" s="61" t="str">
        <f t="shared" si="6"/>
        <v/>
      </c>
      <c r="L61" s="61">
        <f t="shared" si="7"/>
        <v>1</v>
      </c>
      <c r="M61" s="61" t="str">
        <f t="shared" si="8"/>
        <v/>
      </c>
      <c r="N61" s="61" t="b">
        <f t="shared" si="42"/>
        <v>1</v>
      </c>
      <c r="O61" s="61" t="b">
        <f t="shared" si="43"/>
        <v>1</v>
      </c>
      <c r="P61" s="80">
        <v>1.0</v>
      </c>
      <c r="Q61" s="80">
        <v>1.0</v>
      </c>
      <c r="R61" s="80">
        <v>1.0</v>
      </c>
      <c r="S61" s="61" t="b">
        <f t="shared" si="44"/>
        <v>1</v>
      </c>
      <c r="T61" s="80">
        <v>1.0</v>
      </c>
      <c r="U61" s="80">
        <v>1.0</v>
      </c>
      <c r="V61" s="80">
        <v>1.0</v>
      </c>
      <c r="X61" s="61" t="str">
        <f t="shared" si="30"/>
        <v/>
      </c>
      <c r="Y61" s="61" t="str">
        <f t="shared" si="12"/>
        <v/>
      </c>
      <c r="Z61" s="114" t="s">
        <v>1044</v>
      </c>
      <c r="AA61" s="80" t="s">
        <v>266</v>
      </c>
      <c r="AC61" s="61">
        <f>countif('Charts-SLR'!A:A,AA61)</f>
        <v>1</v>
      </c>
      <c r="AD61" s="80" t="s">
        <v>1037</v>
      </c>
      <c r="AE61" s="61">
        <f t="shared" si="13"/>
        <v>0</v>
      </c>
      <c r="AF61" s="80">
        <v>2011.0</v>
      </c>
      <c r="AG61" s="80" t="s">
        <v>250</v>
      </c>
      <c r="AH61" s="80">
        <v>2.0</v>
      </c>
      <c r="AI61" s="108">
        <f t="shared" si="14"/>
        <v>2</v>
      </c>
      <c r="AJ61" s="61" t="str">
        <f t="shared" si="15"/>
        <v/>
      </c>
      <c r="AK61" s="61">
        <f t="shared" si="16"/>
        <v>2</v>
      </c>
      <c r="AL61" s="61" t="str">
        <f t="shared" si="17"/>
        <v/>
      </c>
      <c r="AM61" s="61" t="str">
        <f t="shared" si="18"/>
        <v/>
      </c>
      <c r="AN61" s="61" t="str">
        <f t="shared" si="19"/>
        <v/>
      </c>
      <c r="AO61" s="61" t="str">
        <f t="shared" si="20"/>
        <v/>
      </c>
      <c r="AP61" s="80" t="s">
        <v>217</v>
      </c>
      <c r="AV61" s="61">
        <f t="shared" si="21"/>
        <v>1</v>
      </c>
      <c r="AX61" s="80" t="s">
        <v>217</v>
      </c>
      <c r="BE61" s="80" t="s">
        <v>217</v>
      </c>
      <c r="BL61" s="80" t="s">
        <v>884</v>
      </c>
      <c r="BO61" s="216" t="s">
        <v>217</v>
      </c>
      <c r="BP61" s="61">
        <f t="shared" si="33"/>
        <v>3</v>
      </c>
      <c r="BQ61" s="80" t="s">
        <v>217</v>
      </c>
      <c r="BT61" s="80" t="s">
        <v>217</v>
      </c>
      <c r="CD61" s="80" t="s">
        <v>217</v>
      </c>
      <c r="CM61" s="61">
        <f t="shared" si="22"/>
        <v>1</v>
      </c>
      <c r="CR61" s="114" t="s">
        <v>1046</v>
      </c>
      <c r="CS61" s="61">
        <f t="shared" si="23"/>
        <v>1</v>
      </c>
      <c r="CU61" s="80" t="s">
        <v>217</v>
      </c>
      <c r="CV61" s="61" t="str">
        <f t="shared" si="24"/>
        <v/>
      </c>
      <c r="CW61" s="61" t="str">
        <f t="shared" si="25"/>
        <v/>
      </c>
      <c r="CX61" s="61" t="str">
        <f t="shared" si="26"/>
        <v>FA</v>
      </c>
      <c r="DA61" s="80" t="s">
        <v>217</v>
      </c>
      <c r="DB61" s="80" t="s">
        <v>217</v>
      </c>
      <c r="DE61" s="80" t="s">
        <v>1410</v>
      </c>
      <c r="DG61" s="80" t="s">
        <v>217</v>
      </c>
      <c r="DH61" s="61" t="str">
        <f t="shared" si="27"/>
        <v/>
      </c>
      <c r="DJ61" s="80" t="s">
        <v>217</v>
      </c>
      <c r="DK61" s="61" t="str">
        <f t="shared" si="38"/>
        <v/>
      </c>
      <c r="DL61" s="61" t="str">
        <f t="shared" si="39"/>
        <v/>
      </c>
      <c r="DQ61" s="80" t="s">
        <v>217</v>
      </c>
      <c r="DS61" s="80" t="s">
        <v>217</v>
      </c>
      <c r="DT61" s="80" t="s">
        <v>217</v>
      </c>
      <c r="ED61" s="80">
        <v>9.0</v>
      </c>
      <c r="EE61" s="80" t="s">
        <v>1047</v>
      </c>
      <c r="EF61" s="112">
        <v>117919.0</v>
      </c>
      <c r="EG61" s="80" t="s">
        <v>1048</v>
      </c>
      <c r="EI61" s="80" t="s">
        <v>217</v>
      </c>
      <c r="EJ61" s="80" t="s">
        <v>217</v>
      </c>
    </row>
    <row r="62" ht="1.5" customHeight="1">
      <c r="A62" s="80" t="s">
        <v>1050</v>
      </c>
      <c r="B62" s="113" t="s">
        <v>1051</v>
      </c>
      <c r="C62" s="80" t="s">
        <v>209</v>
      </c>
      <c r="D62" s="80" t="s">
        <v>1052</v>
      </c>
      <c r="E62" s="73" t="s">
        <v>217</v>
      </c>
      <c r="F62" s="80" t="s">
        <v>210</v>
      </c>
      <c r="G62" s="80" t="s">
        <v>211</v>
      </c>
      <c r="H62" s="61">
        <f t="shared" si="3"/>
        <v>1</v>
      </c>
      <c r="I62" s="61" t="str">
        <f t="shared" si="4"/>
        <v/>
      </c>
      <c r="J62" s="61" t="str">
        <f t="shared" si="5"/>
        <v/>
      </c>
      <c r="K62" s="61" t="str">
        <f t="shared" si="6"/>
        <v/>
      </c>
      <c r="L62" s="61" t="str">
        <f t="shared" si="7"/>
        <v/>
      </c>
      <c r="M62" s="61" t="str">
        <f t="shared" si="8"/>
        <v/>
      </c>
      <c r="N62" s="61" t="b">
        <f t="shared" si="42"/>
        <v>1</v>
      </c>
      <c r="O62" s="61" t="b">
        <f t="shared" si="43"/>
        <v>1</v>
      </c>
      <c r="P62" s="80">
        <v>1.0</v>
      </c>
      <c r="Q62" s="80">
        <v>1.0</v>
      </c>
      <c r="R62" s="80">
        <v>1.0</v>
      </c>
      <c r="S62" s="61" t="b">
        <f t="shared" si="44"/>
        <v>1</v>
      </c>
      <c r="T62" s="80">
        <v>1.0</v>
      </c>
      <c r="U62" s="80">
        <v>1.0</v>
      </c>
      <c r="V62" s="80">
        <v>1.0</v>
      </c>
      <c r="X62" s="61" t="str">
        <f t="shared" si="30"/>
        <v/>
      </c>
      <c r="Y62" s="61" t="str">
        <f t="shared" si="12"/>
        <v/>
      </c>
      <c r="Z62" s="114" t="s">
        <v>213</v>
      </c>
      <c r="AA62" s="80" t="s">
        <v>214</v>
      </c>
      <c r="AC62" s="61">
        <f>countif('Charts-SLR'!A:A,AA62)</f>
        <v>1</v>
      </c>
      <c r="AD62" s="80" t="s">
        <v>1053</v>
      </c>
      <c r="AE62" s="61">
        <f t="shared" si="13"/>
        <v>0</v>
      </c>
      <c r="AF62" s="80">
        <v>2004.0</v>
      </c>
      <c r="AG62" s="80" t="s">
        <v>231</v>
      </c>
      <c r="AH62" s="80">
        <v>27.0</v>
      </c>
      <c r="AI62" s="108">
        <f t="shared" si="14"/>
        <v>3.375</v>
      </c>
      <c r="AJ62" s="61">
        <f t="shared" si="15"/>
        <v>27</v>
      </c>
      <c r="AK62" s="61" t="str">
        <f t="shared" si="16"/>
        <v/>
      </c>
      <c r="AL62" s="61" t="str">
        <f t="shared" si="17"/>
        <v/>
      </c>
      <c r="AM62" s="61" t="str">
        <f t="shared" si="18"/>
        <v/>
      </c>
      <c r="AN62" s="61" t="str">
        <f t="shared" si="19"/>
        <v/>
      </c>
      <c r="AO62" s="61" t="str">
        <f t="shared" si="20"/>
        <v/>
      </c>
      <c r="AP62" s="80" t="s">
        <v>217</v>
      </c>
      <c r="AQ62" s="80" t="s">
        <v>217</v>
      </c>
      <c r="AV62" s="61">
        <f t="shared" si="21"/>
        <v>2</v>
      </c>
      <c r="AX62" s="80" t="s">
        <v>217</v>
      </c>
      <c r="BD62" s="80" t="s">
        <v>217</v>
      </c>
      <c r="BG62" s="80" t="s">
        <v>217</v>
      </c>
      <c r="BI62" s="80" t="s">
        <v>217</v>
      </c>
      <c r="BJ62" s="80" t="s">
        <v>217</v>
      </c>
      <c r="BN62" s="80" t="s">
        <v>217</v>
      </c>
      <c r="BO62" s="218" t="str">
        <f t="shared" ref="BO62:BO63" si="45">if(and(BM62="x",BN62="x"), "x", "")</f>
        <v/>
      </c>
      <c r="BP62" s="61">
        <f t="shared" si="33"/>
        <v>2</v>
      </c>
      <c r="BS62" s="80" t="s">
        <v>217</v>
      </c>
      <c r="BX62" s="80" t="s">
        <v>217</v>
      </c>
      <c r="BY62" s="80" t="s">
        <v>217</v>
      </c>
      <c r="CF62" s="80" t="s">
        <v>217</v>
      </c>
      <c r="CK62" s="80" t="s">
        <v>217</v>
      </c>
      <c r="CM62" s="61">
        <f t="shared" si="22"/>
        <v>2</v>
      </c>
      <c r="CN62" s="80" t="s">
        <v>217</v>
      </c>
      <c r="CS62" s="61">
        <f t="shared" si="23"/>
        <v>1</v>
      </c>
      <c r="CU62" s="80" t="s">
        <v>217</v>
      </c>
      <c r="CV62" s="61" t="str">
        <f t="shared" si="24"/>
        <v/>
      </c>
      <c r="CW62" s="61" t="str">
        <f t="shared" si="25"/>
        <v/>
      </c>
      <c r="CX62" s="61" t="str">
        <f t="shared" si="26"/>
        <v>FA</v>
      </c>
      <c r="DA62" s="80" t="s">
        <v>217</v>
      </c>
      <c r="DG62" s="80" t="s">
        <v>217</v>
      </c>
      <c r="DH62" s="61" t="str">
        <f t="shared" si="27"/>
        <v/>
      </c>
      <c r="DI62" s="80" t="s">
        <v>217</v>
      </c>
      <c r="DK62" s="61" t="str">
        <f t="shared" si="38"/>
        <v/>
      </c>
      <c r="DL62" s="61" t="str">
        <f t="shared" si="39"/>
        <v/>
      </c>
      <c r="DP62" s="80" t="s">
        <v>217</v>
      </c>
      <c r="EA62" s="80" t="s">
        <v>1054</v>
      </c>
      <c r="EB62" s="80" t="s">
        <v>1055</v>
      </c>
      <c r="ED62" s="80">
        <v>1.0</v>
      </c>
      <c r="EE62" s="80" t="s">
        <v>1056</v>
      </c>
      <c r="EF62" s="116"/>
      <c r="EG62" s="80" t="s">
        <v>1057</v>
      </c>
    </row>
    <row r="63" ht="1.5" customHeight="1">
      <c r="A63" s="80" t="s">
        <v>898</v>
      </c>
      <c r="B63" s="113" t="s">
        <v>899</v>
      </c>
      <c r="C63" s="80" t="s">
        <v>245</v>
      </c>
      <c r="D63" s="80" t="s">
        <v>900</v>
      </c>
      <c r="E63" s="73" t="s">
        <v>217</v>
      </c>
      <c r="F63" s="80" t="s">
        <v>210</v>
      </c>
      <c r="G63" s="80" t="s">
        <v>211</v>
      </c>
      <c r="H63" s="61" t="str">
        <f t="shared" si="3"/>
        <v/>
      </c>
      <c r="I63" s="61" t="str">
        <f t="shared" si="4"/>
        <v/>
      </c>
      <c r="J63" s="61" t="str">
        <f t="shared" si="5"/>
        <v/>
      </c>
      <c r="K63" s="61" t="str">
        <f t="shared" si="6"/>
        <v/>
      </c>
      <c r="L63" s="61">
        <f t="shared" si="7"/>
        <v>1</v>
      </c>
      <c r="M63" s="61" t="str">
        <f t="shared" si="8"/>
        <v/>
      </c>
      <c r="N63" s="61" t="b">
        <f t="shared" si="42"/>
        <v>1</v>
      </c>
      <c r="O63" s="61" t="b">
        <f t="shared" si="43"/>
        <v>1</v>
      </c>
      <c r="P63" s="80">
        <v>1.0</v>
      </c>
      <c r="Q63" s="80">
        <v>1.0</v>
      </c>
      <c r="R63" s="80">
        <v>1.0</v>
      </c>
      <c r="S63" s="61" t="b">
        <f t="shared" si="44"/>
        <v>1</v>
      </c>
      <c r="T63" s="80">
        <v>1.0</v>
      </c>
      <c r="U63" s="80">
        <v>1.0</v>
      </c>
      <c r="V63" s="80">
        <v>1.0</v>
      </c>
      <c r="X63" s="61" t="str">
        <f t="shared" si="30"/>
        <v/>
      </c>
      <c r="Y63" s="61" t="str">
        <f t="shared" si="12"/>
        <v>Li:jss10, </v>
      </c>
      <c r="Z63" s="80" t="s">
        <v>901</v>
      </c>
      <c r="AA63" s="80" t="s">
        <v>902</v>
      </c>
      <c r="AB63" s="80" t="s">
        <v>217</v>
      </c>
      <c r="AC63" s="80">
        <v>1.0</v>
      </c>
      <c r="AD63" s="80" t="s">
        <v>903</v>
      </c>
      <c r="AE63" s="61">
        <f t="shared" si="13"/>
        <v>0</v>
      </c>
      <c r="AF63" s="80">
        <v>2010.0</v>
      </c>
      <c r="AG63" s="80" t="s">
        <v>231</v>
      </c>
      <c r="AH63" s="80">
        <v>2.0</v>
      </c>
      <c r="AI63" s="108">
        <f t="shared" si="14"/>
        <v>1</v>
      </c>
      <c r="AJ63" s="61">
        <f t="shared" si="15"/>
        <v>2</v>
      </c>
      <c r="AK63" s="61" t="str">
        <f t="shared" si="16"/>
        <v/>
      </c>
      <c r="AL63" s="61" t="str">
        <f t="shared" si="17"/>
        <v/>
      </c>
      <c r="AM63" s="61" t="str">
        <f t="shared" si="18"/>
        <v/>
      </c>
      <c r="AN63" s="61" t="str">
        <f t="shared" si="19"/>
        <v/>
      </c>
      <c r="AO63" s="61" t="str">
        <f t="shared" si="20"/>
        <v/>
      </c>
      <c r="AP63" s="80" t="s">
        <v>217</v>
      </c>
      <c r="AV63" s="61">
        <f t="shared" si="21"/>
        <v>1</v>
      </c>
      <c r="AX63" s="80" t="s">
        <v>217</v>
      </c>
      <c r="BD63" s="80" t="s">
        <v>217</v>
      </c>
      <c r="BG63" s="80" t="s">
        <v>217</v>
      </c>
      <c r="BM63" s="80" t="s">
        <v>217</v>
      </c>
      <c r="BO63" s="218" t="str">
        <f t="shared" si="45"/>
        <v/>
      </c>
      <c r="BP63" s="61">
        <f t="shared" si="33"/>
        <v>1</v>
      </c>
      <c r="BQ63" s="80" t="s">
        <v>217</v>
      </c>
      <c r="CA63" s="80" t="s">
        <v>217</v>
      </c>
      <c r="CB63" s="80" t="s">
        <v>217</v>
      </c>
      <c r="CF63" s="80" t="s">
        <v>217</v>
      </c>
      <c r="CM63" s="61">
        <f t="shared" si="22"/>
        <v>2</v>
      </c>
      <c r="CN63" s="80" t="s">
        <v>217</v>
      </c>
      <c r="CS63" s="61">
        <f t="shared" si="23"/>
        <v>1</v>
      </c>
      <c r="CT63" s="80" t="s">
        <v>217</v>
      </c>
      <c r="CU63" s="80" t="s">
        <v>217</v>
      </c>
      <c r="CV63" s="61" t="str">
        <f t="shared" si="24"/>
        <v>both</v>
      </c>
      <c r="CW63" s="61" t="str">
        <f t="shared" si="25"/>
        <v/>
      </c>
      <c r="CX63" s="61" t="str">
        <f t="shared" si="26"/>
        <v/>
      </c>
      <c r="CZ63" s="80" t="s">
        <v>217</v>
      </c>
      <c r="DA63" s="80" t="s">
        <v>217</v>
      </c>
      <c r="DC63" s="80" t="s">
        <v>217</v>
      </c>
      <c r="DG63" s="80" t="s">
        <v>217</v>
      </c>
      <c r="DH63" s="61" t="str">
        <f t="shared" si="27"/>
        <v/>
      </c>
      <c r="DI63" s="80" t="s">
        <v>217</v>
      </c>
      <c r="DK63" s="61" t="str">
        <f t="shared" si="38"/>
        <v/>
      </c>
      <c r="DL63" s="61" t="str">
        <f t="shared" si="39"/>
        <v/>
      </c>
      <c r="DM63" s="80" t="s">
        <v>217</v>
      </c>
      <c r="DN63" s="80" t="s">
        <v>217</v>
      </c>
      <c r="DY63" s="80" t="s">
        <v>217</v>
      </c>
      <c r="EB63" s="80" t="s">
        <v>908</v>
      </c>
      <c r="ED63" s="80">
        <v>2.0</v>
      </c>
      <c r="EE63" s="80" t="s">
        <v>909</v>
      </c>
      <c r="EF63" s="112">
        <v>159409.0</v>
      </c>
      <c r="EG63" s="80" t="s">
        <v>910</v>
      </c>
      <c r="EI63" s="80" t="s">
        <v>217</v>
      </c>
    </row>
    <row r="64" ht="1.5" customHeight="1">
      <c r="A64" s="80" t="s">
        <v>1008</v>
      </c>
      <c r="B64" s="113" t="s">
        <v>1009</v>
      </c>
      <c r="C64" s="80" t="s">
        <v>245</v>
      </c>
      <c r="D64" s="80" t="s">
        <v>1010</v>
      </c>
      <c r="E64" s="73" t="s">
        <v>217</v>
      </c>
      <c r="F64" s="80" t="s">
        <v>210</v>
      </c>
      <c r="G64" s="80" t="s">
        <v>211</v>
      </c>
      <c r="H64" s="61" t="str">
        <f t="shared" si="3"/>
        <v/>
      </c>
      <c r="I64" s="61" t="str">
        <f t="shared" si="4"/>
        <v/>
      </c>
      <c r="J64" s="61" t="str">
        <f t="shared" si="5"/>
        <v/>
      </c>
      <c r="K64" s="61" t="str">
        <f t="shared" si="6"/>
        <v/>
      </c>
      <c r="L64" s="61">
        <f t="shared" si="7"/>
        <v>1</v>
      </c>
      <c r="M64" s="61" t="str">
        <f t="shared" si="8"/>
        <v/>
      </c>
      <c r="N64" s="61" t="b">
        <f t="shared" si="42"/>
        <v>1</v>
      </c>
      <c r="O64" s="61" t="b">
        <f t="shared" si="43"/>
        <v>1</v>
      </c>
      <c r="P64" s="80">
        <v>1.0</v>
      </c>
      <c r="Q64" s="80">
        <v>1.0</v>
      </c>
      <c r="R64" s="80">
        <v>1.0</v>
      </c>
      <c r="S64" s="61" t="b">
        <f t="shared" si="44"/>
        <v>1</v>
      </c>
      <c r="T64" s="80">
        <v>0.0</v>
      </c>
      <c r="U64" s="80">
        <v>1.0</v>
      </c>
      <c r="V64" s="80">
        <v>1.0</v>
      </c>
      <c r="W64" s="115" t="s">
        <v>1011</v>
      </c>
      <c r="X64" s="61" t="str">
        <f t="shared" si="30"/>
        <v/>
      </c>
      <c r="Y64" s="61" t="str">
        <f t="shared" si="12"/>
        <v/>
      </c>
      <c r="Z64" s="114" t="s">
        <v>1012</v>
      </c>
      <c r="AA64" s="80" t="s">
        <v>214</v>
      </c>
      <c r="AC64" s="61">
        <f>countif('Charts-SLR'!A:A,AA64)</f>
        <v>1</v>
      </c>
      <c r="AD64" s="80" t="s">
        <v>1013</v>
      </c>
      <c r="AE64" s="61">
        <f t="shared" si="13"/>
        <v>0</v>
      </c>
      <c r="AF64" s="80">
        <v>2008.0</v>
      </c>
      <c r="AG64" s="80" t="s">
        <v>250</v>
      </c>
      <c r="AH64" s="80">
        <v>0.0</v>
      </c>
      <c r="AI64" s="108">
        <f t="shared" si="14"/>
        <v>0</v>
      </c>
      <c r="AJ64" s="61" t="str">
        <f t="shared" si="15"/>
        <v/>
      </c>
      <c r="AK64" s="61">
        <f t="shared" si="16"/>
        <v>0</v>
      </c>
      <c r="AL64" s="61" t="str">
        <f t="shared" si="17"/>
        <v/>
      </c>
      <c r="AM64" s="61" t="str">
        <f t="shared" si="18"/>
        <v/>
      </c>
      <c r="AN64" s="61" t="str">
        <f t="shared" si="19"/>
        <v/>
      </c>
      <c r="AO64" s="61" t="str">
        <f t="shared" si="20"/>
        <v/>
      </c>
      <c r="AP64" s="80" t="s">
        <v>217</v>
      </c>
      <c r="AR64" s="80" t="s">
        <v>217</v>
      </c>
      <c r="AV64" s="61">
        <f t="shared" si="21"/>
        <v>2</v>
      </c>
      <c r="AX64" s="80" t="s">
        <v>217</v>
      </c>
      <c r="BD64" s="80" t="s">
        <v>217</v>
      </c>
      <c r="BF64" s="80" t="s">
        <v>217</v>
      </c>
      <c r="BG64" s="80" t="s">
        <v>217</v>
      </c>
      <c r="BH64" s="80" t="s">
        <v>217</v>
      </c>
      <c r="BO64" s="216" t="s">
        <v>217</v>
      </c>
      <c r="BP64" s="61">
        <f t="shared" si="33"/>
        <v>3</v>
      </c>
      <c r="BS64" s="80" t="s">
        <v>217</v>
      </c>
      <c r="BY64" s="80" t="s">
        <v>217</v>
      </c>
      <c r="BZ64" s="80" t="s">
        <v>217</v>
      </c>
      <c r="CL64" s="80" t="s">
        <v>630</v>
      </c>
      <c r="CM64" s="61">
        <f t="shared" si="22"/>
        <v>1</v>
      </c>
      <c r="CN64" s="80" t="s">
        <v>217</v>
      </c>
      <c r="CO64" s="80" t="s">
        <v>217</v>
      </c>
      <c r="CP64" s="80" t="s">
        <v>217</v>
      </c>
      <c r="CS64" s="61">
        <f t="shared" si="23"/>
        <v>3</v>
      </c>
      <c r="CT64" s="80" t="s">
        <v>217</v>
      </c>
      <c r="CU64" s="80" t="s">
        <v>217</v>
      </c>
      <c r="CV64" s="61" t="str">
        <f t="shared" si="24"/>
        <v>both</v>
      </c>
      <c r="CW64" s="61" t="str">
        <f t="shared" si="25"/>
        <v/>
      </c>
      <c r="CX64" s="61" t="str">
        <f t="shared" si="26"/>
        <v/>
      </c>
      <c r="CY64" s="80" t="s">
        <v>217</v>
      </c>
      <c r="CZ64" s="80" t="s">
        <v>217</v>
      </c>
      <c r="DG64" s="80" t="s">
        <v>217</v>
      </c>
      <c r="DH64" s="61" t="str">
        <f t="shared" si="27"/>
        <v/>
      </c>
      <c r="DI64" s="80" t="s">
        <v>217</v>
      </c>
      <c r="DK64" s="61" t="str">
        <f t="shared" si="38"/>
        <v/>
      </c>
      <c r="DL64" s="61" t="str">
        <f t="shared" si="39"/>
        <v/>
      </c>
      <c r="DM64" s="80" t="s">
        <v>217</v>
      </c>
      <c r="DN64" s="80" t="s">
        <v>217</v>
      </c>
      <c r="DS64" s="80" t="s">
        <v>217</v>
      </c>
      <c r="ED64" s="80">
        <v>9.0</v>
      </c>
      <c r="EE64" s="80" t="s">
        <v>1021</v>
      </c>
      <c r="EF64" s="112">
        <v>13155.0</v>
      </c>
      <c r="EG64" s="80" t="s">
        <v>1022</v>
      </c>
      <c r="EI64" s="80" t="s">
        <v>217</v>
      </c>
    </row>
    <row r="65" ht="1.5" customHeight="1">
      <c r="A65" s="80" t="s">
        <v>1024</v>
      </c>
      <c r="B65" s="113" t="s">
        <v>1025</v>
      </c>
      <c r="C65" s="80" t="s">
        <v>245</v>
      </c>
      <c r="D65" s="80" t="s">
        <v>1026</v>
      </c>
      <c r="E65" s="73" t="s">
        <v>217</v>
      </c>
      <c r="F65" s="80" t="s">
        <v>210</v>
      </c>
      <c r="G65" s="80" t="s">
        <v>211</v>
      </c>
      <c r="H65" s="61" t="str">
        <f t="shared" si="3"/>
        <v/>
      </c>
      <c r="I65" s="61" t="str">
        <f t="shared" si="4"/>
        <v/>
      </c>
      <c r="J65" s="61" t="str">
        <f t="shared" si="5"/>
        <v/>
      </c>
      <c r="K65" s="61" t="str">
        <f t="shared" si="6"/>
        <v/>
      </c>
      <c r="L65" s="61">
        <f t="shared" si="7"/>
        <v>1</v>
      </c>
      <c r="M65" s="61" t="str">
        <f t="shared" si="8"/>
        <v/>
      </c>
      <c r="N65" s="61" t="b">
        <f t="shared" si="42"/>
        <v>1</v>
      </c>
      <c r="O65" s="61" t="b">
        <f t="shared" si="43"/>
        <v>1</v>
      </c>
      <c r="P65" s="80">
        <v>1.0</v>
      </c>
      <c r="Q65" s="80">
        <v>1.0</v>
      </c>
      <c r="R65" s="80">
        <v>1.0</v>
      </c>
      <c r="S65" s="61" t="b">
        <f t="shared" si="44"/>
        <v>1</v>
      </c>
      <c r="T65" s="80">
        <v>0.0</v>
      </c>
      <c r="U65" s="80">
        <v>1.0</v>
      </c>
      <c r="V65" s="80">
        <v>1.0</v>
      </c>
      <c r="X65" s="61" t="str">
        <f t="shared" si="30"/>
        <v/>
      </c>
      <c r="Y65" s="61" t="str">
        <f t="shared" si="12"/>
        <v>Gerlits:syrcose10, </v>
      </c>
      <c r="Z65" s="114" t="s">
        <v>1027</v>
      </c>
      <c r="AA65" s="80" t="s">
        <v>1028</v>
      </c>
      <c r="AC65" s="61">
        <f>countif('Charts-SLR'!A:A,AA65)</f>
        <v>1</v>
      </c>
      <c r="AD65" s="80" t="s">
        <v>1029</v>
      </c>
      <c r="AE65" s="61">
        <f t="shared" si="13"/>
        <v>0</v>
      </c>
      <c r="AF65" s="80">
        <v>2010.0</v>
      </c>
      <c r="AG65" s="80" t="s">
        <v>216</v>
      </c>
      <c r="AH65" s="80">
        <v>0.0</v>
      </c>
      <c r="AI65" s="108">
        <f t="shared" si="14"/>
        <v>0</v>
      </c>
      <c r="AJ65" s="61" t="str">
        <f t="shared" si="15"/>
        <v/>
      </c>
      <c r="AK65" s="61" t="str">
        <f t="shared" si="16"/>
        <v/>
      </c>
      <c r="AL65" s="61">
        <f t="shared" si="17"/>
        <v>0</v>
      </c>
      <c r="AM65" s="61" t="str">
        <f t="shared" si="18"/>
        <v/>
      </c>
      <c r="AN65" s="61" t="str">
        <f t="shared" si="19"/>
        <v/>
      </c>
      <c r="AO65" s="61" t="str">
        <f t="shared" si="20"/>
        <v>Gerlits:syrcose10, </v>
      </c>
      <c r="AU65" s="80" t="s">
        <v>217</v>
      </c>
      <c r="AV65" s="61">
        <f t="shared" si="21"/>
        <v>1</v>
      </c>
      <c r="AW65" s="80" t="s">
        <v>217</v>
      </c>
      <c r="BD65" s="80" t="s">
        <v>217</v>
      </c>
      <c r="BG65" s="80" t="s">
        <v>217</v>
      </c>
      <c r="BM65" s="80" t="s">
        <v>217</v>
      </c>
      <c r="BO65" s="218" t="str">
        <f t="shared" ref="BO65:BO68" si="46">if(and(BM65="x",BN65="x"), "x", "")</f>
        <v/>
      </c>
      <c r="BP65" s="61">
        <f t="shared" si="33"/>
        <v>1</v>
      </c>
      <c r="BS65" s="80" t="s">
        <v>217</v>
      </c>
      <c r="BV65" s="80" t="s">
        <v>217</v>
      </c>
      <c r="CB65" s="80" t="s">
        <v>217</v>
      </c>
      <c r="CM65" s="61">
        <f t="shared" si="22"/>
        <v>1</v>
      </c>
      <c r="CO65" s="80" t="s">
        <v>217</v>
      </c>
      <c r="CS65" s="61">
        <f t="shared" si="23"/>
        <v>1</v>
      </c>
      <c r="CT65" s="80" t="s">
        <v>217</v>
      </c>
      <c r="CU65" s="80" t="s">
        <v>217</v>
      </c>
      <c r="CV65" s="61" t="str">
        <f t="shared" si="24"/>
        <v>both</v>
      </c>
      <c r="CW65" s="61" t="str">
        <f t="shared" si="25"/>
        <v/>
      </c>
      <c r="CX65" s="61" t="str">
        <f t="shared" si="26"/>
        <v/>
      </c>
      <c r="CZ65" s="80" t="s">
        <v>217</v>
      </c>
      <c r="DG65" s="80" t="s">
        <v>217</v>
      </c>
      <c r="DH65" s="61" t="str">
        <f t="shared" si="27"/>
        <v/>
      </c>
      <c r="DJ65" s="80" t="s">
        <v>217</v>
      </c>
      <c r="DK65" s="61" t="str">
        <f t="shared" si="38"/>
        <v/>
      </c>
      <c r="DL65" s="61" t="str">
        <f t="shared" si="39"/>
        <v/>
      </c>
      <c r="DO65" s="80" t="s">
        <v>217</v>
      </c>
      <c r="DY65" s="80" t="s">
        <v>217</v>
      </c>
      <c r="ED65" s="80">
        <v>8.0</v>
      </c>
      <c r="EE65" s="80" t="s">
        <v>1030</v>
      </c>
      <c r="EF65" s="116"/>
    </row>
    <row r="66" ht="1.5" customHeight="1">
      <c r="A66" s="80" t="s">
        <v>1065</v>
      </c>
      <c r="B66" s="113" t="s">
        <v>1066</v>
      </c>
      <c r="C66" s="80" t="s">
        <v>210</v>
      </c>
      <c r="D66" s="80" t="s">
        <v>1067</v>
      </c>
      <c r="E66" s="73" t="s">
        <v>217</v>
      </c>
      <c r="F66" s="80" t="s">
        <v>245</v>
      </c>
      <c r="G66" s="80" t="s">
        <v>211</v>
      </c>
      <c r="H66" s="61" t="str">
        <f t="shared" si="3"/>
        <v/>
      </c>
      <c r="I66" s="61" t="str">
        <f t="shared" si="4"/>
        <v/>
      </c>
      <c r="J66" s="61" t="str">
        <f t="shared" si="5"/>
        <v/>
      </c>
      <c r="K66" s="61">
        <f t="shared" si="6"/>
        <v>1</v>
      </c>
      <c r="L66" s="61" t="str">
        <f t="shared" si="7"/>
        <v/>
      </c>
      <c r="M66" s="61" t="str">
        <f t="shared" si="8"/>
        <v/>
      </c>
      <c r="N66" s="61" t="b">
        <f t="shared" si="42"/>
        <v>1</v>
      </c>
      <c r="O66" s="61" t="b">
        <f t="shared" si="43"/>
        <v>1</v>
      </c>
      <c r="P66" s="80">
        <v>1.0</v>
      </c>
      <c r="Q66" s="80">
        <v>1.0</v>
      </c>
      <c r="R66" s="80">
        <v>1.0</v>
      </c>
      <c r="S66" s="61" t="b">
        <f t="shared" si="44"/>
        <v>1</v>
      </c>
      <c r="T66" s="80">
        <v>1.0</v>
      </c>
      <c r="U66" s="80">
        <v>1.0</v>
      </c>
      <c r="V66" s="80">
        <v>1.0</v>
      </c>
      <c r="X66" s="61" t="str">
        <f t="shared" si="30"/>
        <v/>
      </c>
      <c r="Y66" s="61" t="str">
        <f t="shared" si="12"/>
        <v/>
      </c>
      <c r="Z66" s="114" t="s">
        <v>1068</v>
      </c>
      <c r="AA66" s="80" t="s">
        <v>1069</v>
      </c>
      <c r="AC66" s="61">
        <f>countif('Charts-SLR'!A:A,AA66)</f>
        <v>1</v>
      </c>
      <c r="AD66" s="80" t="s">
        <v>903</v>
      </c>
      <c r="AE66" s="61">
        <f t="shared" si="13"/>
        <v>0</v>
      </c>
      <c r="AF66" s="80">
        <v>2008.0</v>
      </c>
      <c r="AG66" s="80" t="s">
        <v>231</v>
      </c>
      <c r="AH66" s="80">
        <v>8.0</v>
      </c>
      <c r="AI66" s="108">
        <f t="shared" si="14"/>
        <v>2</v>
      </c>
      <c r="AJ66" s="61">
        <f t="shared" si="15"/>
        <v>8</v>
      </c>
      <c r="AK66" s="61" t="str">
        <f t="shared" si="16"/>
        <v/>
      </c>
      <c r="AL66" s="61" t="str">
        <f t="shared" si="17"/>
        <v/>
      </c>
      <c r="AM66" s="61" t="str">
        <f t="shared" si="18"/>
        <v/>
      </c>
      <c r="AN66" s="61" t="str">
        <f t="shared" si="19"/>
        <v/>
      </c>
      <c r="AO66" s="61" t="str">
        <f t="shared" si="20"/>
        <v/>
      </c>
      <c r="AP66" s="80" t="s">
        <v>217</v>
      </c>
      <c r="AQ66" s="80" t="s">
        <v>217</v>
      </c>
      <c r="AR66" s="80" t="s">
        <v>217</v>
      </c>
      <c r="AS66" s="80" t="s">
        <v>217</v>
      </c>
      <c r="AV66" s="61">
        <f t="shared" si="21"/>
        <v>4</v>
      </c>
      <c r="AX66" s="80" t="s">
        <v>217</v>
      </c>
      <c r="BD66" s="80" t="s">
        <v>217</v>
      </c>
      <c r="BE66" s="80" t="s">
        <v>217</v>
      </c>
      <c r="BG66" s="80" t="s">
        <v>217</v>
      </c>
      <c r="BN66" s="80" t="s">
        <v>217</v>
      </c>
      <c r="BO66" s="218" t="str">
        <f t="shared" si="46"/>
        <v/>
      </c>
      <c r="BP66" s="61">
        <f t="shared" si="33"/>
        <v>2</v>
      </c>
      <c r="BQ66" s="80" t="s">
        <v>217</v>
      </c>
      <c r="BT66" s="80" t="s">
        <v>217</v>
      </c>
      <c r="CD66" s="80" t="s">
        <v>217</v>
      </c>
      <c r="CK66" s="80" t="s">
        <v>217</v>
      </c>
      <c r="CM66" s="61">
        <f t="shared" si="22"/>
        <v>2</v>
      </c>
      <c r="CO66" s="80" t="s">
        <v>217</v>
      </c>
      <c r="CS66" s="61">
        <f t="shared" si="23"/>
        <v>1</v>
      </c>
      <c r="CT66" s="80" t="s">
        <v>217</v>
      </c>
      <c r="CU66" s="80" t="s">
        <v>217</v>
      </c>
      <c r="CV66" s="61" t="str">
        <f t="shared" si="24"/>
        <v>both</v>
      </c>
      <c r="CW66" s="61" t="str">
        <f t="shared" si="25"/>
        <v/>
      </c>
      <c r="CX66" s="61" t="str">
        <f t="shared" si="26"/>
        <v/>
      </c>
      <c r="CY66" s="80" t="s">
        <v>217</v>
      </c>
      <c r="CZ66" s="80" t="s">
        <v>217</v>
      </c>
      <c r="DG66" s="80" t="s">
        <v>217</v>
      </c>
      <c r="DH66" s="61" t="str">
        <f t="shared" si="27"/>
        <v/>
      </c>
      <c r="DI66" s="80" t="s">
        <v>217</v>
      </c>
      <c r="DK66" s="61" t="str">
        <f t="shared" si="38"/>
        <v/>
      </c>
      <c r="DL66" s="61" t="str">
        <f t="shared" si="39"/>
        <v/>
      </c>
      <c r="DT66" s="80" t="s">
        <v>217</v>
      </c>
      <c r="EB66" s="80" t="s">
        <v>1074</v>
      </c>
      <c r="ED66" s="80">
        <v>16.0</v>
      </c>
      <c r="EE66" s="80" t="s">
        <v>1075</v>
      </c>
      <c r="EF66" s="112">
        <v>111533.0</v>
      </c>
      <c r="EG66" s="80" t="s">
        <v>1076</v>
      </c>
      <c r="EI66" s="80" t="s">
        <v>217</v>
      </c>
      <c r="EJ66" s="80" t="s">
        <v>217</v>
      </c>
    </row>
    <row r="67" ht="1.5" customHeight="1">
      <c r="A67" s="80" t="s">
        <v>1078</v>
      </c>
      <c r="B67" s="113" t="s">
        <v>1079</v>
      </c>
      <c r="C67" s="80" t="s">
        <v>209</v>
      </c>
      <c r="D67" s="80" t="s">
        <v>1080</v>
      </c>
      <c r="E67" s="73" t="s">
        <v>217</v>
      </c>
      <c r="F67" s="80" t="s">
        <v>210</v>
      </c>
      <c r="G67" s="80" t="s">
        <v>211</v>
      </c>
      <c r="H67" s="61">
        <f t="shared" si="3"/>
        <v>1</v>
      </c>
      <c r="I67" s="61" t="str">
        <f t="shared" si="4"/>
        <v/>
      </c>
      <c r="J67" s="61" t="str">
        <f t="shared" si="5"/>
        <v/>
      </c>
      <c r="K67" s="61" t="str">
        <f t="shared" si="6"/>
        <v/>
      </c>
      <c r="L67" s="61" t="str">
        <f t="shared" si="7"/>
        <v/>
      </c>
      <c r="M67" s="61" t="str">
        <f t="shared" si="8"/>
        <v/>
      </c>
      <c r="N67" s="61" t="b">
        <f t="shared" si="42"/>
        <v>1</v>
      </c>
      <c r="O67" s="61" t="b">
        <f t="shared" si="43"/>
        <v>1</v>
      </c>
      <c r="P67" s="80">
        <v>1.0</v>
      </c>
      <c r="Q67" s="80">
        <v>0.0</v>
      </c>
      <c r="R67" s="80">
        <v>1.0</v>
      </c>
      <c r="S67" s="61" t="b">
        <f t="shared" si="44"/>
        <v>1</v>
      </c>
      <c r="T67" s="80">
        <v>0.0</v>
      </c>
      <c r="U67" s="80">
        <v>1.0</v>
      </c>
      <c r="V67" s="80">
        <v>1.0</v>
      </c>
      <c r="W67" s="115" t="s">
        <v>1081</v>
      </c>
      <c r="X67" s="61" t="str">
        <f t="shared" si="30"/>
        <v/>
      </c>
      <c r="Y67" s="61" t="str">
        <f t="shared" si="12"/>
        <v/>
      </c>
      <c r="Z67" s="114" t="s">
        <v>348</v>
      </c>
      <c r="AA67" s="80" t="s">
        <v>214</v>
      </c>
      <c r="AC67" s="61">
        <f>countif('Charts-SLR'!A:A,AA67)</f>
        <v>1</v>
      </c>
      <c r="AD67" s="80" t="s">
        <v>450</v>
      </c>
      <c r="AE67" s="61">
        <f t="shared" si="13"/>
        <v>0</v>
      </c>
      <c r="AF67" s="80">
        <v>2002.0</v>
      </c>
      <c r="AG67" s="80" t="s">
        <v>231</v>
      </c>
      <c r="AH67" s="80">
        <v>30.0</v>
      </c>
      <c r="AI67" s="108">
        <f t="shared" si="14"/>
        <v>3</v>
      </c>
      <c r="AJ67" s="61">
        <f t="shared" si="15"/>
        <v>30</v>
      </c>
      <c r="AK67" s="61" t="str">
        <f t="shared" si="16"/>
        <v/>
      </c>
      <c r="AL67" s="61" t="str">
        <f t="shared" si="17"/>
        <v/>
      </c>
      <c r="AM67" s="61" t="str">
        <f t="shared" si="18"/>
        <v/>
      </c>
      <c r="AN67" s="61" t="str">
        <f t="shared" si="19"/>
        <v/>
      </c>
      <c r="AO67" s="61" t="str">
        <f t="shared" si="20"/>
        <v/>
      </c>
      <c r="AQ67" s="80" t="s">
        <v>217</v>
      </c>
      <c r="AT67" s="80" t="s">
        <v>217</v>
      </c>
      <c r="AV67" s="61">
        <f t="shared" si="21"/>
        <v>2</v>
      </c>
      <c r="AX67" s="80" t="s">
        <v>217</v>
      </c>
      <c r="BD67" s="80" t="s">
        <v>217</v>
      </c>
      <c r="BG67" s="80" t="s">
        <v>217</v>
      </c>
      <c r="BJ67" s="80" t="s">
        <v>217</v>
      </c>
      <c r="BN67" s="80" t="s">
        <v>217</v>
      </c>
      <c r="BO67" s="218" t="str">
        <f t="shared" si="46"/>
        <v/>
      </c>
      <c r="BP67" s="61">
        <f t="shared" si="33"/>
        <v>2</v>
      </c>
      <c r="BR67" s="80" t="s">
        <v>217</v>
      </c>
      <c r="BT67" s="80" t="s">
        <v>217</v>
      </c>
      <c r="BZ67" s="80" t="s">
        <v>217</v>
      </c>
      <c r="CK67" s="80" t="s">
        <v>217</v>
      </c>
      <c r="CM67" s="61">
        <f t="shared" si="22"/>
        <v>1</v>
      </c>
      <c r="CN67" s="80" t="s">
        <v>217</v>
      </c>
      <c r="CS67" s="61">
        <f t="shared" si="23"/>
        <v>1</v>
      </c>
      <c r="CU67" s="80" t="s">
        <v>217</v>
      </c>
      <c r="CV67" s="61" t="str">
        <f t="shared" si="24"/>
        <v/>
      </c>
      <c r="CW67" s="61" t="str">
        <f t="shared" si="25"/>
        <v/>
      </c>
      <c r="CX67" s="61" t="str">
        <f t="shared" si="26"/>
        <v>FA</v>
      </c>
      <c r="CY67" s="80" t="s">
        <v>217</v>
      </c>
      <c r="DG67" s="80" t="s">
        <v>217</v>
      </c>
      <c r="DH67" s="61" t="str">
        <f t="shared" si="27"/>
        <v/>
      </c>
      <c r="DI67" s="80" t="s">
        <v>217</v>
      </c>
      <c r="DK67" s="61" t="str">
        <f t="shared" si="38"/>
        <v/>
      </c>
      <c r="DL67" s="61" t="str">
        <f t="shared" si="39"/>
        <v/>
      </c>
      <c r="DQ67" s="80" t="s">
        <v>217</v>
      </c>
      <c r="DZ67" s="80" t="s">
        <v>217</v>
      </c>
      <c r="EB67" s="80" t="s">
        <v>1084</v>
      </c>
      <c r="ED67" s="80">
        <v>1.0</v>
      </c>
      <c r="EE67" s="80" t="s">
        <v>1085</v>
      </c>
      <c r="EF67" s="116"/>
      <c r="EG67" s="80" t="s">
        <v>1086</v>
      </c>
    </row>
    <row r="68" ht="1.5" customHeight="1">
      <c r="A68" s="80" t="s">
        <v>1088</v>
      </c>
      <c r="B68" s="113" t="s">
        <v>1089</v>
      </c>
      <c r="C68" s="80" t="s">
        <v>209</v>
      </c>
      <c r="D68" s="80" t="s">
        <v>1090</v>
      </c>
      <c r="E68" s="73" t="s">
        <v>217</v>
      </c>
      <c r="F68" s="80" t="s">
        <v>245</v>
      </c>
      <c r="G68" s="80" t="s">
        <v>211</v>
      </c>
      <c r="H68" s="61" t="str">
        <f t="shared" si="3"/>
        <v/>
      </c>
      <c r="I68" s="61">
        <f t="shared" si="4"/>
        <v>1</v>
      </c>
      <c r="J68" s="61" t="str">
        <f t="shared" si="5"/>
        <v/>
      </c>
      <c r="K68" s="61" t="str">
        <f t="shared" si="6"/>
        <v/>
      </c>
      <c r="L68" s="61" t="str">
        <f t="shared" si="7"/>
        <v/>
      </c>
      <c r="M68" s="61" t="str">
        <f t="shared" si="8"/>
        <v/>
      </c>
      <c r="N68" s="61" t="b">
        <f t="shared" si="42"/>
        <v>1</v>
      </c>
      <c r="O68" s="61" t="b">
        <f t="shared" si="43"/>
        <v>1</v>
      </c>
      <c r="P68" s="80">
        <v>1.0</v>
      </c>
      <c r="Q68" s="80">
        <v>1.0</v>
      </c>
      <c r="R68" s="80">
        <v>1.0</v>
      </c>
      <c r="S68" s="61" t="b">
        <f t="shared" si="44"/>
        <v>1</v>
      </c>
      <c r="T68" s="80">
        <v>0.0</v>
      </c>
      <c r="U68" s="80">
        <v>1.0</v>
      </c>
      <c r="V68" s="80">
        <v>1.0</v>
      </c>
      <c r="W68" s="80" t="s">
        <v>1091</v>
      </c>
      <c r="X68" s="61" t="str">
        <f t="shared" si="30"/>
        <v/>
      </c>
      <c r="Y68" s="61" t="str">
        <f t="shared" si="12"/>
        <v/>
      </c>
      <c r="Z68" s="114" t="s">
        <v>1092</v>
      </c>
      <c r="AA68" s="80" t="s">
        <v>1093</v>
      </c>
      <c r="AC68" s="61">
        <f>countif('Charts-SLR'!A:A,AA68)</f>
        <v>1</v>
      </c>
      <c r="AD68" s="80" t="s">
        <v>312</v>
      </c>
      <c r="AE68" s="61">
        <f t="shared" si="13"/>
        <v>0</v>
      </c>
      <c r="AF68" s="80">
        <v>2006.0</v>
      </c>
      <c r="AG68" s="80" t="s">
        <v>231</v>
      </c>
      <c r="AH68" s="80">
        <v>20.0</v>
      </c>
      <c r="AI68" s="108">
        <f t="shared" si="14"/>
        <v>3.333333333</v>
      </c>
      <c r="AJ68" s="61">
        <f t="shared" si="15"/>
        <v>20</v>
      </c>
      <c r="AK68" s="61" t="str">
        <f t="shared" si="16"/>
        <v/>
      </c>
      <c r="AL68" s="61" t="str">
        <f t="shared" si="17"/>
        <v/>
      </c>
      <c r="AM68" s="61" t="str">
        <f t="shared" si="18"/>
        <v/>
      </c>
      <c r="AN68" s="61" t="str">
        <f t="shared" si="19"/>
        <v/>
      </c>
      <c r="AO68" s="61" t="str">
        <f t="shared" si="20"/>
        <v/>
      </c>
      <c r="AP68" s="80" t="s">
        <v>217</v>
      </c>
      <c r="AR68" s="80" t="s">
        <v>217</v>
      </c>
      <c r="AV68" s="61">
        <f t="shared" si="21"/>
        <v>2</v>
      </c>
      <c r="AW68" s="80" t="s">
        <v>217</v>
      </c>
      <c r="BD68" s="80" t="s">
        <v>217</v>
      </c>
      <c r="BF68" s="80" t="s">
        <v>217</v>
      </c>
      <c r="BG68" s="80" t="s">
        <v>217</v>
      </c>
      <c r="BI68" s="80" t="s">
        <v>217</v>
      </c>
      <c r="BN68" s="80" t="s">
        <v>217</v>
      </c>
      <c r="BO68" s="218" t="str">
        <f t="shared" si="46"/>
        <v/>
      </c>
      <c r="BP68" s="61">
        <f t="shared" si="33"/>
        <v>2</v>
      </c>
      <c r="BR68" s="80" t="s">
        <v>217</v>
      </c>
      <c r="BT68" s="80" t="s">
        <v>217</v>
      </c>
      <c r="CD68" s="80" t="s">
        <v>217</v>
      </c>
      <c r="CE68" s="80" t="s">
        <v>217</v>
      </c>
      <c r="CL68" s="80" t="s">
        <v>217</v>
      </c>
      <c r="CM68" s="61">
        <f t="shared" si="22"/>
        <v>3</v>
      </c>
      <c r="CN68" s="80" t="s">
        <v>217</v>
      </c>
      <c r="CS68" s="61">
        <f t="shared" si="23"/>
        <v>1</v>
      </c>
      <c r="CU68" s="80" t="s">
        <v>217</v>
      </c>
      <c r="CV68" s="61" t="str">
        <f t="shared" si="24"/>
        <v/>
      </c>
      <c r="CW68" s="61" t="str">
        <f t="shared" si="25"/>
        <v/>
      </c>
      <c r="CX68" s="61" t="str">
        <f t="shared" si="26"/>
        <v>FA</v>
      </c>
      <c r="CY68" s="80" t="s">
        <v>217</v>
      </c>
      <c r="DA68" s="80" t="s">
        <v>217</v>
      </c>
      <c r="DG68" s="80" t="s">
        <v>217</v>
      </c>
      <c r="DH68" s="61" t="str">
        <f t="shared" si="27"/>
        <v/>
      </c>
      <c r="DI68" s="80" t="s">
        <v>217</v>
      </c>
      <c r="DK68" s="61" t="str">
        <f t="shared" si="38"/>
        <v/>
      </c>
      <c r="DL68" s="61" t="str">
        <f t="shared" si="39"/>
        <v/>
      </c>
      <c r="DP68" s="80" t="s">
        <v>217</v>
      </c>
      <c r="DU68" s="80" t="s">
        <v>217</v>
      </c>
      <c r="ED68" s="80">
        <v>1.0</v>
      </c>
      <c r="EE68" s="80" t="s">
        <v>1094</v>
      </c>
      <c r="EF68" s="112">
        <v>240.0</v>
      </c>
      <c r="EH68" s="80" t="s">
        <v>217</v>
      </c>
      <c r="EI68" s="80" t="s">
        <v>217</v>
      </c>
    </row>
    <row r="69" ht="1.5" customHeight="1">
      <c r="A69" s="80" t="s">
        <v>1088</v>
      </c>
      <c r="B69" s="113" t="s">
        <v>1096</v>
      </c>
      <c r="C69" s="80" t="s">
        <v>209</v>
      </c>
      <c r="D69" s="80" t="s">
        <v>1097</v>
      </c>
      <c r="E69" s="73" t="s">
        <v>217</v>
      </c>
      <c r="F69" s="80" t="s">
        <v>245</v>
      </c>
      <c r="G69" s="80" t="s">
        <v>211</v>
      </c>
      <c r="H69" s="61" t="str">
        <f t="shared" si="3"/>
        <v/>
      </c>
      <c r="I69" s="61">
        <f t="shared" si="4"/>
        <v>1</v>
      </c>
      <c r="J69" s="61" t="str">
        <f t="shared" si="5"/>
        <v/>
      </c>
      <c r="K69" s="61" t="str">
        <f t="shared" si="6"/>
        <v/>
      </c>
      <c r="L69" s="61" t="str">
        <f t="shared" si="7"/>
        <v/>
      </c>
      <c r="M69" s="61" t="str">
        <f t="shared" si="8"/>
        <v/>
      </c>
      <c r="N69" s="61" t="b">
        <f t="shared" si="42"/>
        <v>1</v>
      </c>
      <c r="O69" s="61" t="b">
        <f t="shared" si="43"/>
        <v>1</v>
      </c>
      <c r="P69" s="80">
        <v>1.0</v>
      </c>
      <c r="Q69" s="80">
        <v>1.0</v>
      </c>
      <c r="R69" s="80">
        <v>1.0</v>
      </c>
      <c r="S69" s="61" t="b">
        <f t="shared" si="44"/>
        <v>1</v>
      </c>
      <c r="T69" s="80">
        <v>1.0</v>
      </c>
      <c r="U69" s="80">
        <v>1.0</v>
      </c>
      <c r="V69" s="80">
        <v>1.0</v>
      </c>
      <c r="X69" s="61" t="str">
        <f t="shared" si="30"/>
        <v/>
      </c>
      <c r="Y69" s="61" t="str">
        <f t="shared" si="12"/>
        <v/>
      </c>
      <c r="Z69" s="114" t="s">
        <v>1098</v>
      </c>
      <c r="AA69" s="80" t="s">
        <v>214</v>
      </c>
      <c r="AC69" s="61">
        <f>countif('Charts-SLR'!A:A,AA69)</f>
        <v>1</v>
      </c>
      <c r="AD69" s="80" t="s">
        <v>334</v>
      </c>
      <c r="AE69" s="61">
        <f t="shared" si="13"/>
        <v>0</v>
      </c>
      <c r="AF69" s="80">
        <v>2002.0</v>
      </c>
      <c r="AG69" s="80" t="s">
        <v>250</v>
      </c>
      <c r="AH69" s="80">
        <v>134.0</v>
      </c>
      <c r="AI69" s="108">
        <f t="shared" si="14"/>
        <v>13.4</v>
      </c>
      <c r="AJ69" s="61" t="str">
        <f t="shared" si="15"/>
        <v/>
      </c>
      <c r="AK69" s="61">
        <f t="shared" si="16"/>
        <v>134</v>
      </c>
      <c r="AL69" s="61" t="str">
        <f t="shared" si="17"/>
        <v/>
      </c>
      <c r="AM69" s="61" t="str">
        <f t="shared" si="18"/>
        <v/>
      </c>
      <c r="AN69" s="61" t="str">
        <f t="shared" si="19"/>
        <v/>
      </c>
      <c r="AO69" s="61" t="str">
        <f t="shared" si="20"/>
        <v/>
      </c>
      <c r="AP69" s="80" t="s">
        <v>217</v>
      </c>
      <c r="AQ69" s="80" t="s">
        <v>217</v>
      </c>
      <c r="AR69" s="80" t="s">
        <v>217</v>
      </c>
      <c r="AV69" s="61">
        <f t="shared" si="21"/>
        <v>3</v>
      </c>
      <c r="AW69" s="80" t="s">
        <v>217</v>
      </c>
      <c r="BD69" s="80" t="s">
        <v>217</v>
      </c>
      <c r="BF69" s="80" t="s">
        <v>217</v>
      </c>
      <c r="BG69" s="80" t="s">
        <v>217</v>
      </c>
      <c r="BI69" s="80" t="s">
        <v>217</v>
      </c>
      <c r="BJ69" s="80" t="s">
        <v>217</v>
      </c>
      <c r="BK69" s="80" t="s">
        <v>217</v>
      </c>
      <c r="BO69" s="216" t="s">
        <v>217</v>
      </c>
      <c r="BP69" s="61">
        <f t="shared" si="33"/>
        <v>3</v>
      </c>
      <c r="BQ69" s="80" t="s">
        <v>217</v>
      </c>
      <c r="BR69" s="80" t="s">
        <v>217</v>
      </c>
      <c r="BT69" s="80" t="s">
        <v>217</v>
      </c>
      <c r="BV69" s="80" t="s">
        <v>217</v>
      </c>
      <c r="CB69" s="80" t="s">
        <v>217</v>
      </c>
      <c r="CK69" s="80" t="s">
        <v>217</v>
      </c>
      <c r="CM69" s="61">
        <f t="shared" si="22"/>
        <v>2</v>
      </c>
      <c r="CN69" s="80" t="s">
        <v>217</v>
      </c>
      <c r="CP69" s="80" t="s">
        <v>217</v>
      </c>
      <c r="CQ69" s="80" t="s">
        <v>217</v>
      </c>
      <c r="CS69" s="61">
        <f t="shared" si="23"/>
        <v>3</v>
      </c>
      <c r="CU69" s="80" t="s">
        <v>217</v>
      </c>
      <c r="CV69" s="61" t="str">
        <f t="shared" si="24"/>
        <v/>
      </c>
      <c r="CW69" s="61" t="str">
        <f t="shared" si="25"/>
        <v/>
      </c>
      <c r="CX69" s="61" t="str">
        <f t="shared" si="26"/>
        <v>FA</v>
      </c>
      <c r="CY69" s="80" t="s">
        <v>217</v>
      </c>
      <c r="DG69" s="80" t="s">
        <v>217</v>
      </c>
      <c r="DH69" s="61" t="str">
        <f t="shared" si="27"/>
        <v/>
      </c>
      <c r="DI69" s="80" t="s">
        <v>217</v>
      </c>
      <c r="DK69" s="61" t="str">
        <f t="shared" si="38"/>
        <v/>
      </c>
      <c r="DL69" s="61" t="str">
        <f t="shared" si="39"/>
        <v/>
      </c>
      <c r="DM69" s="80" t="s">
        <v>217</v>
      </c>
      <c r="DN69" s="80" t="s">
        <v>217</v>
      </c>
      <c r="DT69" s="80" t="s">
        <v>217</v>
      </c>
      <c r="DU69" s="80" t="s">
        <v>1100</v>
      </c>
      <c r="EB69" s="80" t="s">
        <v>1101</v>
      </c>
      <c r="EF69" s="116"/>
      <c r="EG69" s="80" t="s">
        <v>1102</v>
      </c>
      <c r="EI69" s="80" t="s">
        <v>217</v>
      </c>
    </row>
    <row r="70" ht="1.5" customHeight="1">
      <c r="A70" s="80" t="s">
        <v>1104</v>
      </c>
      <c r="B70" s="113" t="s">
        <v>1105</v>
      </c>
      <c r="C70" s="80" t="s">
        <v>209</v>
      </c>
      <c r="D70" s="80" t="s">
        <v>1106</v>
      </c>
      <c r="E70" s="73" t="s">
        <v>217</v>
      </c>
      <c r="F70" s="80" t="s">
        <v>245</v>
      </c>
      <c r="G70" s="80" t="s">
        <v>211</v>
      </c>
      <c r="H70" s="61" t="str">
        <f t="shared" si="3"/>
        <v/>
      </c>
      <c r="I70" s="61">
        <f t="shared" si="4"/>
        <v>1</v>
      </c>
      <c r="J70" s="61" t="str">
        <f t="shared" si="5"/>
        <v/>
      </c>
      <c r="K70" s="61" t="str">
        <f t="shared" si="6"/>
        <v/>
      </c>
      <c r="L70" s="61" t="str">
        <f t="shared" si="7"/>
        <v/>
      </c>
      <c r="M70" s="61" t="str">
        <f t="shared" si="8"/>
        <v/>
      </c>
      <c r="N70" s="61" t="b">
        <f t="shared" si="42"/>
        <v>1</v>
      </c>
      <c r="O70" s="61" t="b">
        <f t="shared" si="43"/>
        <v>1</v>
      </c>
      <c r="P70" s="80">
        <v>1.0</v>
      </c>
      <c r="Q70" s="80">
        <v>1.0</v>
      </c>
      <c r="R70" s="80">
        <v>1.0</v>
      </c>
      <c r="S70" s="61" t="b">
        <f t="shared" si="44"/>
        <v>1</v>
      </c>
      <c r="T70" s="80">
        <v>1.0</v>
      </c>
      <c r="U70" s="80">
        <v>1.0</v>
      </c>
      <c r="V70" s="80">
        <v>1.0</v>
      </c>
      <c r="X70" s="61" t="str">
        <f t="shared" si="30"/>
        <v/>
      </c>
      <c r="Y70" s="61" t="str">
        <f t="shared" si="12"/>
        <v/>
      </c>
      <c r="Z70" s="114" t="s">
        <v>1107</v>
      </c>
      <c r="AA70" s="80" t="s">
        <v>266</v>
      </c>
      <c r="AC70" s="61">
        <f>countif('Charts-SLR'!A:A,AA70)</f>
        <v>1</v>
      </c>
      <c r="AD70" s="80" t="s">
        <v>875</v>
      </c>
      <c r="AE70" s="61">
        <f t="shared" si="13"/>
        <v>0</v>
      </c>
      <c r="AF70" s="80">
        <v>2005.0</v>
      </c>
      <c r="AG70" s="80" t="s">
        <v>231</v>
      </c>
      <c r="AH70" s="80">
        <v>204.0</v>
      </c>
      <c r="AI70" s="108">
        <f t="shared" si="14"/>
        <v>29.14285714</v>
      </c>
      <c r="AJ70" s="61">
        <f t="shared" si="15"/>
        <v>204</v>
      </c>
      <c r="AK70" s="61" t="str">
        <f t="shared" si="16"/>
        <v/>
      </c>
      <c r="AL70" s="61" t="str">
        <f t="shared" si="17"/>
        <v/>
      </c>
      <c r="AM70" s="61" t="str">
        <f t="shared" si="18"/>
        <v/>
      </c>
      <c r="AN70" s="61" t="str">
        <f t="shared" si="19"/>
        <v/>
      </c>
      <c r="AO70" s="61" t="str">
        <f t="shared" si="20"/>
        <v/>
      </c>
      <c r="AP70" s="80" t="s">
        <v>217</v>
      </c>
      <c r="AT70" s="80" t="s">
        <v>217</v>
      </c>
      <c r="AV70" s="61">
        <f t="shared" si="21"/>
        <v>2</v>
      </c>
      <c r="AW70" s="80" t="s">
        <v>217</v>
      </c>
      <c r="BD70" s="80" t="s">
        <v>217</v>
      </c>
      <c r="BG70" s="80" t="s">
        <v>217</v>
      </c>
      <c r="BN70" s="80" t="s">
        <v>217</v>
      </c>
      <c r="BO70" s="218" t="str">
        <f>if(and(BM70="x",BN70="x"), "x", "")</f>
        <v/>
      </c>
      <c r="BP70" s="61">
        <f t="shared" si="33"/>
        <v>2</v>
      </c>
      <c r="BS70" s="80" t="s">
        <v>217</v>
      </c>
      <c r="BZ70" s="80" t="s">
        <v>217</v>
      </c>
      <c r="CK70" s="80" t="s">
        <v>217</v>
      </c>
      <c r="CM70" s="61">
        <f t="shared" si="22"/>
        <v>1</v>
      </c>
      <c r="CN70" s="80" t="s">
        <v>217</v>
      </c>
      <c r="CS70" s="61">
        <f t="shared" si="23"/>
        <v>1</v>
      </c>
      <c r="CU70" s="80" t="s">
        <v>217</v>
      </c>
      <c r="CV70" s="61" t="str">
        <f t="shared" si="24"/>
        <v/>
      </c>
      <c r="CW70" s="61" t="str">
        <f t="shared" si="25"/>
        <v/>
      </c>
      <c r="CX70" s="61" t="str">
        <f t="shared" si="26"/>
        <v>FA</v>
      </c>
      <c r="DA70" s="80" t="s">
        <v>217</v>
      </c>
      <c r="DG70" s="80" t="s">
        <v>217</v>
      </c>
      <c r="DH70" s="61" t="str">
        <f t="shared" si="27"/>
        <v/>
      </c>
      <c r="DI70" s="80" t="s">
        <v>217</v>
      </c>
      <c r="DK70" s="61" t="str">
        <f t="shared" si="38"/>
        <v/>
      </c>
      <c r="DL70" s="61" t="str">
        <f t="shared" si="39"/>
        <v/>
      </c>
      <c r="DQ70" s="80" t="s">
        <v>217</v>
      </c>
      <c r="DZ70" s="80" t="s">
        <v>217</v>
      </c>
      <c r="EB70" s="80" t="s">
        <v>1108</v>
      </c>
      <c r="ED70" s="80">
        <v>1.0</v>
      </c>
      <c r="EE70" s="80" t="s">
        <v>1109</v>
      </c>
      <c r="EF70" s="116"/>
      <c r="EG70" s="80" t="s">
        <v>1110</v>
      </c>
      <c r="EH70" s="80" t="s">
        <v>217</v>
      </c>
      <c r="EK70" s="80" t="s">
        <v>217</v>
      </c>
    </row>
    <row r="71" ht="1.5" customHeight="1">
      <c r="A71" s="114" t="s">
        <v>1112</v>
      </c>
      <c r="B71" s="113" t="s">
        <v>1113</v>
      </c>
      <c r="C71" s="80" t="s">
        <v>210</v>
      </c>
      <c r="D71" s="80" t="s">
        <v>1114</v>
      </c>
      <c r="E71" s="73" t="s">
        <v>217</v>
      </c>
      <c r="F71" s="80" t="s">
        <v>209</v>
      </c>
      <c r="G71" s="80" t="s">
        <v>211</v>
      </c>
      <c r="H71" s="61" t="str">
        <f t="shared" si="3"/>
        <v/>
      </c>
      <c r="I71" s="61" t="str">
        <f t="shared" si="4"/>
        <v/>
      </c>
      <c r="J71" s="61">
        <f t="shared" si="5"/>
        <v>1</v>
      </c>
      <c r="K71" s="61" t="str">
        <f t="shared" si="6"/>
        <v/>
      </c>
      <c r="L71" s="61" t="str">
        <f t="shared" si="7"/>
        <v/>
      </c>
      <c r="M71" s="61" t="str">
        <f t="shared" si="8"/>
        <v/>
      </c>
      <c r="N71" s="61" t="b">
        <f t="shared" si="42"/>
        <v>0</v>
      </c>
      <c r="O71" s="61" t="b">
        <f t="shared" si="43"/>
        <v>1</v>
      </c>
      <c r="P71" s="80">
        <v>1.0</v>
      </c>
      <c r="Q71" s="80">
        <v>1.0</v>
      </c>
      <c r="R71" s="80">
        <v>1.0</v>
      </c>
      <c r="S71" s="61" t="b">
        <f t="shared" si="44"/>
        <v>0</v>
      </c>
      <c r="T71" s="80">
        <v>0.0</v>
      </c>
      <c r="U71" s="80">
        <v>1.0</v>
      </c>
      <c r="W71" s="80" t="s">
        <v>1115</v>
      </c>
      <c r="X71" s="61" t="str">
        <f t="shared" si="30"/>
        <v/>
      </c>
      <c r="Y71" s="61" t="str">
        <f t="shared" si="12"/>
        <v/>
      </c>
      <c r="Z71" s="114" t="s">
        <v>1116</v>
      </c>
      <c r="AA71" s="80" t="s">
        <v>214</v>
      </c>
      <c r="AC71" s="61">
        <f>countif('Charts-SLR'!A:A,AA71)</f>
        <v>1</v>
      </c>
      <c r="AD71" s="80" t="s">
        <v>1117</v>
      </c>
      <c r="AE71" s="61">
        <f t="shared" si="13"/>
        <v>0</v>
      </c>
      <c r="AF71" s="80">
        <v>2005.0</v>
      </c>
      <c r="AG71" s="80" t="s">
        <v>268</v>
      </c>
      <c r="AH71" s="80">
        <v>28.0</v>
      </c>
      <c r="AI71" s="108">
        <f t="shared" si="14"/>
        <v>4</v>
      </c>
      <c r="AJ71" s="61" t="str">
        <f t="shared" si="15"/>
        <v/>
      </c>
      <c r="AK71" s="61" t="str">
        <f t="shared" si="16"/>
        <v/>
      </c>
      <c r="AL71" s="61" t="str">
        <f t="shared" si="17"/>
        <v/>
      </c>
      <c r="AM71" s="61" t="str">
        <f t="shared" si="18"/>
        <v/>
      </c>
      <c r="AN71" s="61">
        <f t="shared" si="19"/>
        <v>28</v>
      </c>
      <c r="AO71" s="61" t="str">
        <f t="shared" si="20"/>
        <v/>
      </c>
      <c r="AP71" s="80" t="s">
        <v>217</v>
      </c>
      <c r="AQ71" s="80" t="s">
        <v>217</v>
      </c>
      <c r="AR71" s="80" t="s">
        <v>217</v>
      </c>
      <c r="AV71" s="61">
        <f t="shared" si="21"/>
        <v>3</v>
      </c>
      <c r="AW71" s="80" t="s">
        <v>217</v>
      </c>
      <c r="BD71" s="80" t="s">
        <v>217</v>
      </c>
      <c r="BG71" s="80" t="s">
        <v>217</v>
      </c>
      <c r="BI71" s="80" t="s">
        <v>217</v>
      </c>
      <c r="BJ71" s="80" t="s">
        <v>217</v>
      </c>
      <c r="BO71" s="216" t="s">
        <v>217</v>
      </c>
      <c r="BP71" s="61">
        <f t="shared" si="33"/>
        <v>3</v>
      </c>
      <c r="BQ71" s="80" t="s">
        <v>217</v>
      </c>
      <c r="BS71" s="80" t="s">
        <v>217</v>
      </c>
      <c r="BU71" s="80" t="s">
        <v>217</v>
      </c>
      <c r="BY71" s="80" t="s">
        <v>217</v>
      </c>
      <c r="CD71" s="80" t="s">
        <v>217</v>
      </c>
      <c r="CK71" s="80" t="s">
        <v>217</v>
      </c>
      <c r="CM71" s="61">
        <f t="shared" si="22"/>
        <v>2</v>
      </c>
      <c r="CN71" s="80" t="s">
        <v>217</v>
      </c>
      <c r="CQ71" s="80" t="s">
        <v>217</v>
      </c>
      <c r="CS71" s="61">
        <f t="shared" si="23"/>
        <v>2</v>
      </c>
      <c r="CT71" s="80" t="s">
        <v>217</v>
      </c>
      <c r="CU71" s="80" t="s">
        <v>217</v>
      </c>
      <c r="CV71" s="61" t="str">
        <f t="shared" si="24"/>
        <v>both</v>
      </c>
      <c r="CW71" s="61" t="str">
        <f t="shared" si="25"/>
        <v/>
      </c>
      <c r="CX71" s="61" t="str">
        <f t="shared" si="26"/>
        <v/>
      </c>
      <c r="CY71" s="80" t="s">
        <v>217</v>
      </c>
      <c r="DG71" s="80" t="s">
        <v>217</v>
      </c>
      <c r="DH71" s="61" t="str">
        <f t="shared" si="27"/>
        <v/>
      </c>
      <c r="DI71" s="80" t="s">
        <v>217</v>
      </c>
      <c r="DK71" s="61" t="str">
        <f t="shared" si="38"/>
        <v/>
      </c>
      <c r="DL71" s="61" t="str">
        <f t="shared" si="39"/>
        <v/>
      </c>
      <c r="DM71" s="80" t="s">
        <v>217</v>
      </c>
      <c r="DZ71" s="80" t="s">
        <v>217</v>
      </c>
      <c r="EB71" s="80" t="s">
        <v>1118</v>
      </c>
      <c r="EF71" s="116"/>
      <c r="EG71" s="80" t="s">
        <v>1119</v>
      </c>
      <c r="EH71" s="80" t="s">
        <v>217</v>
      </c>
    </row>
    <row r="72" ht="1.5" customHeight="1">
      <c r="A72" s="80" t="s">
        <v>1121</v>
      </c>
      <c r="B72" s="113" t="s">
        <v>1122</v>
      </c>
      <c r="C72" s="80" t="s">
        <v>210</v>
      </c>
      <c r="D72" s="80" t="s">
        <v>1123</v>
      </c>
      <c r="E72" s="73" t="s">
        <v>217</v>
      </c>
      <c r="F72" s="80" t="s">
        <v>209</v>
      </c>
      <c r="G72" s="80" t="s">
        <v>211</v>
      </c>
      <c r="H72" s="61" t="str">
        <f t="shared" si="3"/>
        <v/>
      </c>
      <c r="I72" s="61" t="str">
        <f t="shared" si="4"/>
        <v/>
      </c>
      <c r="J72" s="61">
        <f t="shared" si="5"/>
        <v>1</v>
      </c>
      <c r="K72" s="61" t="str">
        <f t="shared" si="6"/>
        <v/>
      </c>
      <c r="L72" s="61" t="str">
        <f t="shared" si="7"/>
        <v/>
      </c>
      <c r="M72" s="61" t="str">
        <f t="shared" si="8"/>
        <v/>
      </c>
      <c r="N72" s="61" t="b">
        <f t="shared" si="42"/>
        <v>1</v>
      </c>
      <c r="O72" s="61" t="b">
        <f t="shared" si="43"/>
        <v>1</v>
      </c>
      <c r="P72" s="80">
        <v>1.0</v>
      </c>
      <c r="Q72" s="80">
        <v>1.0</v>
      </c>
      <c r="R72" s="80">
        <v>1.0</v>
      </c>
      <c r="S72" s="61" t="b">
        <f t="shared" si="44"/>
        <v>1</v>
      </c>
      <c r="T72" s="80">
        <v>0.0</v>
      </c>
      <c r="U72" s="80">
        <v>1.0</v>
      </c>
      <c r="V72" s="80">
        <v>1.0</v>
      </c>
      <c r="W72" s="115" t="s">
        <v>1124</v>
      </c>
      <c r="X72" s="61" t="str">
        <f t="shared" si="30"/>
        <v/>
      </c>
      <c r="Y72" s="61" t="str">
        <f t="shared" si="12"/>
        <v/>
      </c>
      <c r="Z72" s="114" t="s">
        <v>1125</v>
      </c>
      <c r="AA72" s="80" t="s">
        <v>464</v>
      </c>
      <c r="AC72" s="61">
        <f>countif('Charts-SLR'!A:A,AA72)</f>
        <v>1</v>
      </c>
      <c r="AD72" s="80" t="s">
        <v>1126</v>
      </c>
      <c r="AE72" s="61">
        <f t="shared" si="13"/>
        <v>0</v>
      </c>
      <c r="AF72" s="80">
        <v>2005.0</v>
      </c>
      <c r="AG72" s="80" t="s">
        <v>250</v>
      </c>
      <c r="AH72" s="80">
        <v>24.0</v>
      </c>
      <c r="AI72" s="108">
        <f t="shared" si="14"/>
        <v>3.428571429</v>
      </c>
      <c r="AJ72" s="61" t="str">
        <f t="shared" si="15"/>
        <v/>
      </c>
      <c r="AK72" s="61">
        <f t="shared" si="16"/>
        <v>24</v>
      </c>
      <c r="AL72" s="61" t="str">
        <f t="shared" si="17"/>
        <v/>
      </c>
      <c r="AM72" s="61" t="str">
        <f t="shared" si="18"/>
        <v/>
      </c>
      <c r="AN72" s="61" t="str">
        <f t="shared" si="19"/>
        <v/>
      </c>
      <c r="AO72" s="61" t="str">
        <f t="shared" si="20"/>
        <v/>
      </c>
      <c r="AP72" s="80" t="s">
        <v>217</v>
      </c>
      <c r="AQ72" s="80" t="s">
        <v>217</v>
      </c>
      <c r="AR72" s="80" t="s">
        <v>217</v>
      </c>
      <c r="AV72" s="61">
        <f t="shared" si="21"/>
        <v>3</v>
      </c>
      <c r="AX72" s="80" t="s">
        <v>217</v>
      </c>
      <c r="BD72" s="80" t="s">
        <v>217</v>
      </c>
      <c r="BG72" s="80" t="s">
        <v>217</v>
      </c>
      <c r="BI72" s="80" t="s">
        <v>217</v>
      </c>
      <c r="BN72" s="80" t="s">
        <v>217</v>
      </c>
      <c r="BO72" s="218" t="str">
        <f t="shared" ref="BO72:BO81" si="47">if(and(BM72="x",BN72="x"), "x", "")</f>
        <v/>
      </c>
      <c r="BP72" s="61">
        <f t="shared" si="33"/>
        <v>2</v>
      </c>
      <c r="BS72" s="80" t="s">
        <v>217</v>
      </c>
      <c r="BV72" s="80" t="s">
        <v>217</v>
      </c>
      <c r="CK72" s="80" t="s">
        <v>217</v>
      </c>
      <c r="CM72" s="61">
        <f t="shared" si="22"/>
        <v>1</v>
      </c>
      <c r="CQ72" s="80" t="s">
        <v>217</v>
      </c>
      <c r="CS72" s="61">
        <f t="shared" si="23"/>
        <v>1</v>
      </c>
      <c r="CT72" s="80" t="s">
        <v>217</v>
      </c>
      <c r="CU72" s="80" t="s">
        <v>217</v>
      </c>
      <c r="CV72" s="61" t="str">
        <f t="shared" si="24"/>
        <v>both</v>
      </c>
      <c r="CW72" s="61" t="str">
        <f t="shared" si="25"/>
        <v/>
      </c>
      <c r="CX72" s="61" t="str">
        <f t="shared" si="26"/>
        <v/>
      </c>
      <c r="CZ72" s="80" t="s">
        <v>217</v>
      </c>
      <c r="DG72" s="80" t="s">
        <v>217</v>
      </c>
      <c r="DH72" s="61" t="str">
        <f t="shared" si="27"/>
        <v/>
      </c>
      <c r="DI72" s="80" t="s">
        <v>217</v>
      </c>
      <c r="DK72" s="61" t="str">
        <f t="shared" si="38"/>
        <v/>
      </c>
      <c r="DL72" s="61" t="str">
        <f t="shared" si="39"/>
        <v/>
      </c>
      <c r="DP72" s="80" t="s">
        <v>217</v>
      </c>
      <c r="DT72" s="80" t="s">
        <v>217</v>
      </c>
      <c r="EB72" s="80" t="s">
        <v>1127</v>
      </c>
      <c r="ED72" s="80">
        <v>1.0</v>
      </c>
      <c r="EE72" s="126" t="s">
        <v>1128</v>
      </c>
      <c r="EF72" s="116"/>
      <c r="EG72" s="80" t="s">
        <v>1129</v>
      </c>
      <c r="EH72" s="80" t="s">
        <v>217</v>
      </c>
    </row>
    <row r="73" ht="1.5" customHeight="1">
      <c r="A73" s="80" t="s">
        <v>1131</v>
      </c>
      <c r="B73" s="113" t="s">
        <v>1132</v>
      </c>
      <c r="C73" s="80" t="s">
        <v>245</v>
      </c>
      <c r="D73" s="80" t="s">
        <v>1133</v>
      </c>
      <c r="E73" s="73" t="s">
        <v>217</v>
      </c>
      <c r="F73" s="80" t="s">
        <v>210</v>
      </c>
      <c r="G73" s="80" t="s">
        <v>211</v>
      </c>
      <c r="H73" s="61" t="str">
        <f t="shared" si="3"/>
        <v/>
      </c>
      <c r="I73" s="61" t="str">
        <f t="shared" si="4"/>
        <v/>
      </c>
      <c r="J73" s="61" t="str">
        <f t="shared" si="5"/>
        <v/>
      </c>
      <c r="K73" s="61" t="str">
        <f t="shared" si="6"/>
        <v/>
      </c>
      <c r="L73" s="61">
        <f t="shared" si="7"/>
        <v>1</v>
      </c>
      <c r="M73" s="61" t="str">
        <f t="shared" si="8"/>
        <v/>
      </c>
      <c r="N73" s="61" t="b">
        <f t="shared" si="42"/>
        <v>1</v>
      </c>
      <c r="O73" s="61" t="b">
        <f t="shared" si="43"/>
        <v>1</v>
      </c>
      <c r="P73" s="80">
        <v>1.0</v>
      </c>
      <c r="Q73" s="80">
        <v>1.0</v>
      </c>
      <c r="S73" s="61" t="b">
        <f t="shared" si="44"/>
        <v>1</v>
      </c>
      <c r="T73" s="80">
        <v>1.0</v>
      </c>
      <c r="U73" s="80">
        <v>1.0</v>
      </c>
      <c r="W73" s="80" t="s">
        <v>1134</v>
      </c>
      <c r="X73" s="61" t="str">
        <f t="shared" si="30"/>
        <v/>
      </c>
      <c r="Y73" s="61" t="str">
        <f t="shared" si="12"/>
        <v/>
      </c>
      <c r="Z73" s="114" t="s">
        <v>1135</v>
      </c>
      <c r="AA73" s="80" t="s">
        <v>1136</v>
      </c>
      <c r="AC73" s="61">
        <f>countif('Charts-SLR'!A:A,AA73)</f>
        <v>1</v>
      </c>
      <c r="AD73" s="80" t="s">
        <v>591</v>
      </c>
      <c r="AE73" s="61">
        <f t="shared" si="13"/>
        <v>0</v>
      </c>
      <c r="AF73" s="80">
        <v>2006.0</v>
      </c>
      <c r="AG73" s="80" t="s">
        <v>250</v>
      </c>
      <c r="AH73" s="80">
        <v>14.0</v>
      </c>
      <c r="AI73" s="108">
        <f t="shared" si="14"/>
        <v>2.333333333</v>
      </c>
      <c r="AJ73" s="61" t="str">
        <f t="shared" si="15"/>
        <v/>
      </c>
      <c r="AK73" s="61">
        <f t="shared" si="16"/>
        <v>14</v>
      </c>
      <c r="AL73" s="61" t="str">
        <f t="shared" si="17"/>
        <v/>
      </c>
      <c r="AM73" s="61" t="str">
        <f t="shared" si="18"/>
        <v/>
      </c>
      <c r="AN73" s="61" t="str">
        <f t="shared" si="19"/>
        <v/>
      </c>
      <c r="AO73" s="61" t="str">
        <f t="shared" si="20"/>
        <v>Hao:icwe06, </v>
      </c>
      <c r="AU73" s="80" t="s">
        <v>217</v>
      </c>
      <c r="AV73" s="61">
        <f t="shared" si="21"/>
        <v>1</v>
      </c>
      <c r="AX73" s="80" t="s">
        <v>217</v>
      </c>
      <c r="BD73" s="80" t="s">
        <v>217</v>
      </c>
      <c r="BE73" s="80" t="s">
        <v>217</v>
      </c>
      <c r="BG73" s="80" t="s">
        <v>217</v>
      </c>
      <c r="BL73" s="80" t="s">
        <v>1137</v>
      </c>
      <c r="BN73" s="80" t="s">
        <v>217</v>
      </c>
      <c r="BO73" s="218" t="str">
        <f t="shared" si="47"/>
        <v/>
      </c>
      <c r="BP73" s="61">
        <f t="shared" si="33"/>
        <v>2</v>
      </c>
      <c r="BS73" s="80" t="s">
        <v>217</v>
      </c>
      <c r="BV73" s="80" t="s">
        <v>217</v>
      </c>
      <c r="BX73" s="80" t="s">
        <v>217</v>
      </c>
      <c r="CL73" s="80" t="s">
        <v>217</v>
      </c>
      <c r="CM73" s="61">
        <f t="shared" si="22"/>
        <v>1</v>
      </c>
      <c r="CO73" s="80" t="s">
        <v>217</v>
      </c>
      <c r="CS73" s="61">
        <f t="shared" si="23"/>
        <v>1</v>
      </c>
      <c r="CT73" s="80" t="s">
        <v>217</v>
      </c>
      <c r="CV73" s="61" t="str">
        <f t="shared" si="24"/>
        <v/>
      </c>
      <c r="CW73" s="61" t="str">
        <f t="shared" si="25"/>
        <v>FM</v>
      </c>
      <c r="CX73" s="61" t="str">
        <f t="shared" si="26"/>
        <v/>
      </c>
      <c r="DE73" s="80" t="s">
        <v>1411</v>
      </c>
      <c r="DF73" s="80" t="s">
        <v>217</v>
      </c>
      <c r="DH73" s="61" t="str">
        <f t="shared" si="27"/>
        <v/>
      </c>
      <c r="DI73" s="80" t="s">
        <v>217</v>
      </c>
      <c r="DK73" s="61" t="str">
        <f t="shared" si="38"/>
        <v/>
      </c>
      <c r="DL73" s="61" t="str">
        <f t="shared" si="39"/>
        <v/>
      </c>
      <c r="DM73" s="80" t="s">
        <v>217</v>
      </c>
      <c r="DZ73" s="80" t="s">
        <v>217</v>
      </c>
      <c r="ED73" s="80">
        <v>1.0</v>
      </c>
      <c r="EE73" s="80" t="s">
        <v>1142</v>
      </c>
      <c r="EF73" s="116"/>
    </row>
    <row r="74" ht="1.5" customHeight="1">
      <c r="A74" s="80" t="s">
        <v>1154</v>
      </c>
      <c r="B74" s="113" t="s">
        <v>1155</v>
      </c>
      <c r="C74" s="80" t="s">
        <v>210</v>
      </c>
      <c r="D74" s="80" t="s">
        <v>1156</v>
      </c>
      <c r="E74" s="73" t="s">
        <v>217</v>
      </c>
      <c r="F74" s="80" t="s">
        <v>209</v>
      </c>
      <c r="G74" s="80" t="s">
        <v>211</v>
      </c>
      <c r="H74" s="61" t="str">
        <f t="shared" si="3"/>
        <v/>
      </c>
      <c r="I74" s="61" t="str">
        <f t="shared" si="4"/>
        <v/>
      </c>
      <c r="J74" s="61">
        <f t="shared" si="5"/>
        <v>1</v>
      </c>
      <c r="K74" s="61" t="str">
        <f t="shared" si="6"/>
        <v/>
      </c>
      <c r="L74" s="61" t="str">
        <f t="shared" si="7"/>
        <v/>
      </c>
      <c r="M74" s="61" t="str">
        <f t="shared" si="8"/>
        <v/>
      </c>
      <c r="N74" s="61" t="b">
        <f t="shared" si="42"/>
        <v>1</v>
      </c>
      <c r="O74" s="61" t="b">
        <f t="shared" si="43"/>
        <v>1</v>
      </c>
      <c r="P74" s="80">
        <v>1.0</v>
      </c>
      <c r="Q74" s="80">
        <v>1.0</v>
      </c>
      <c r="R74" s="80">
        <v>1.0</v>
      </c>
      <c r="S74" s="61" t="b">
        <f t="shared" si="44"/>
        <v>1</v>
      </c>
      <c r="T74" s="80">
        <v>1.0</v>
      </c>
      <c r="U74" s="80">
        <v>1.0</v>
      </c>
      <c r="V74" s="80">
        <v>1.0</v>
      </c>
      <c r="W74" s="80" t="s">
        <v>1157</v>
      </c>
      <c r="X74" s="61" t="str">
        <f t="shared" si="30"/>
        <v/>
      </c>
      <c r="Y74" s="61" t="str">
        <f t="shared" si="12"/>
        <v/>
      </c>
      <c r="Z74" s="114" t="s">
        <v>1158</v>
      </c>
      <c r="AA74" s="80" t="s">
        <v>214</v>
      </c>
      <c r="AC74" s="61">
        <f>countif('Charts-SLR'!A:A,AA74)</f>
        <v>1</v>
      </c>
      <c r="AD74" s="80" t="s">
        <v>1159</v>
      </c>
      <c r="AE74" s="61">
        <f t="shared" si="13"/>
        <v>0</v>
      </c>
      <c r="AF74" s="80">
        <v>2011.0</v>
      </c>
      <c r="AG74" s="80" t="s">
        <v>231</v>
      </c>
      <c r="AH74" s="80">
        <v>4.0</v>
      </c>
      <c r="AI74" s="108">
        <f t="shared" si="14"/>
        <v>4</v>
      </c>
      <c r="AJ74" s="61">
        <f t="shared" si="15"/>
        <v>4</v>
      </c>
      <c r="AK74" s="61" t="str">
        <f t="shared" si="16"/>
        <v/>
      </c>
      <c r="AL74" s="61" t="str">
        <f t="shared" si="17"/>
        <v/>
      </c>
      <c r="AM74" s="61" t="str">
        <f t="shared" si="18"/>
        <v/>
      </c>
      <c r="AN74" s="61" t="str">
        <f t="shared" si="19"/>
        <v/>
      </c>
      <c r="AO74" s="61" t="str">
        <f t="shared" si="20"/>
        <v/>
      </c>
      <c r="AP74" s="80" t="s">
        <v>217</v>
      </c>
      <c r="AQ74" s="80" t="s">
        <v>217</v>
      </c>
      <c r="AR74" s="80" t="s">
        <v>217</v>
      </c>
      <c r="AS74" s="80" t="s">
        <v>217</v>
      </c>
      <c r="AV74" s="61">
        <f t="shared" si="21"/>
        <v>4</v>
      </c>
      <c r="AY74" s="80" t="s">
        <v>217</v>
      </c>
      <c r="BD74" s="80" t="s">
        <v>217</v>
      </c>
      <c r="BF74" s="80" t="s">
        <v>217</v>
      </c>
      <c r="BG74" s="80" t="s">
        <v>217</v>
      </c>
      <c r="BM74" s="80" t="s">
        <v>217</v>
      </c>
      <c r="BO74" s="218" t="str">
        <f t="shared" si="47"/>
        <v/>
      </c>
      <c r="BP74" s="61">
        <f t="shared" si="33"/>
        <v>1</v>
      </c>
      <c r="BQ74" s="80" t="s">
        <v>217</v>
      </c>
      <c r="BY74" s="80" t="s">
        <v>217</v>
      </c>
      <c r="CA74" s="80" t="s">
        <v>187</v>
      </c>
      <c r="CI74" s="80" t="s">
        <v>217</v>
      </c>
      <c r="CM74" s="61">
        <f t="shared" si="22"/>
        <v>1</v>
      </c>
      <c r="CO74" s="80" t="s">
        <v>217</v>
      </c>
      <c r="CS74" s="61">
        <f t="shared" si="23"/>
        <v>1</v>
      </c>
      <c r="CT74" s="80" t="s">
        <v>217</v>
      </c>
      <c r="CU74" s="80" t="s">
        <v>217</v>
      </c>
      <c r="CV74" s="61" t="str">
        <f t="shared" si="24"/>
        <v>both</v>
      </c>
      <c r="CW74" s="61" t="str">
        <f t="shared" si="25"/>
        <v/>
      </c>
      <c r="CX74" s="61" t="str">
        <f t="shared" si="26"/>
        <v/>
      </c>
      <c r="CY74" s="80" t="s">
        <v>217</v>
      </c>
      <c r="CZ74" s="80" t="s">
        <v>217</v>
      </c>
      <c r="DG74" s="80" t="s">
        <v>217</v>
      </c>
      <c r="DH74" s="61" t="str">
        <f t="shared" si="27"/>
        <v/>
      </c>
      <c r="DJ74" s="80" t="s">
        <v>217</v>
      </c>
      <c r="DK74" s="61" t="str">
        <f t="shared" si="38"/>
        <v/>
      </c>
      <c r="DL74" s="61" t="str">
        <f t="shared" si="39"/>
        <v/>
      </c>
      <c r="DN74" s="80" t="s">
        <v>217</v>
      </c>
      <c r="DO74" s="80" t="s">
        <v>217</v>
      </c>
      <c r="DT74" s="80" t="s">
        <v>217</v>
      </c>
      <c r="EA74" s="80" t="s">
        <v>1164</v>
      </c>
      <c r="EB74" s="80" t="s">
        <v>1165</v>
      </c>
      <c r="EC74" s="80" t="s">
        <v>217</v>
      </c>
      <c r="ED74" s="80">
        <v>2.0</v>
      </c>
      <c r="EE74" s="80" t="s">
        <v>1166</v>
      </c>
      <c r="EF74" s="112">
        <v>212000.0</v>
      </c>
      <c r="EI74" s="80" t="s">
        <v>217</v>
      </c>
      <c r="EJ74" s="80" t="s">
        <v>217</v>
      </c>
    </row>
    <row r="75" ht="1.5" customHeight="1">
      <c r="A75" s="80" t="s">
        <v>1168</v>
      </c>
      <c r="B75" s="113" t="s">
        <v>1169</v>
      </c>
      <c r="C75" s="80" t="s">
        <v>209</v>
      </c>
      <c r="D75" s="80" t="s">
        <v>1170</v>
      </c>
      <c r="E75" s="73" t="s">
        <v>217</v>
      </c>
      <c r="F75" s="80" t="s">
        <v>245</v>
      </c>
      <c r="G75" s="80" t="s">
        <v>211</v>
      </c>
      <c r="H75" s="61" t="str">
        <f t="shared" si="3"/>
        <v/>
      </c>
      <c r="I75" s="61">
        <f t="shared" si="4"/>
        <v>1</v>
      </c>
      <c r="J75" s="61" t="str">
        <f t="shared" si="5"/>
        <v/>
      </c>
      <c r="K75" s="61" t="str">
        <f t="shared" si="6"/>
        <v/>
      </c>
      <c r="L75" s="61" t="str">
        <f t="shared" si="7"/>
        <v/>
      </c>
      <c r="M75" s="61" t="str">
        <f t="shared" si="8"/>
        <v/>
      </c>
      <c r="N75" s="61" t="b">
        <f t="shared" si="42"/>
        <v>1</v>
      </c>
      <c r="O75" s="61" t="b">
        <f t="shared" si="43"/>
        <v>1</v>
      </c>
      <c r="P75" s="80">
        <v>1.0</v>
      </c>
      <c r="Q75" s="80">
        <v>1.0</v>
      </c>
      <c r="R75" s="80">
        <v>1.0</v>
      </c>
      <c r="S75" s="61" t="b">
        <f t="shared" si="44"/>
        <v>1</v>
      </c>
      <c r="T75" s="80">
        <v>1.0</v>
      </c>
      <c r="U75" s="80">
        <v>1.0</v>
      </c>
      <c r="V75" s="80">
        <v>1.0</v>
      </c>
      <c r="X75" s="61" t="str">
        <f t="shared" si="30"/>
        <v/>
      </c>
      <c r="Y75" s="61" t="str">
        <f t="shared" si="12"/>
        <v/>
      </c>
      <c r="Z75" s="114" t="s">
        <v>1171</v>
      </c>
      <c r="AA75" s="80" t="s">
        <v>266</v>
      </c>
      <c r="AC75" s="61">
        <f>countif('Charts-SLR'!A:A,AA75)</f>
        <v>1</v>
      </c>
      <c r="AD75" s="80" t="s">
        <v>450</v>
      </c>
      <c r="AE75" s="61">
        <f t="shared" si="13"/>
        <v>0</v>
      </c>
      <c r="AF75" s="80">
        <v>2004.0</v>
      </c>
      <c r="AG75" s="80" t="s">
        <v>250</v>
      </c>
      <c r="AH75" s="80">
        <v>31.0</v>
      </c>
      <c r="AI75" s="108">
        <f t="shared" si="14"/>
        <v>3.875</v>
      </c>
      <c r="AJ75" s="61" t="str">
        <f t="shared" si="15"/>
        <v/>
      </c>
      <c r="AK75" s="61">
        <f t="shared" si="16"/>
        <v>31</v>
      </c>
      <c r="AL75" s="61" t="str">
        <f t="shared" si="17"/>
        <v/>
      </c>
      <c r="AM75" s="61" t="str">
        <f t="shared" si="18"/>
        <v/>
      </c>
      <c r="AN75" s="61" t="str">
        <f t="shared" si="19"/>
        <v/>
      </c>
      <c r="AO75" s="61" t="str">
        <f t="shared" si="20"/>
        <v/>
      </c>
      <c r="AP75" s="80" t="s">
        <v>217</v>
      </c>
      <c r="AQ75" s="80" t="s">
        <v>217</v>
      </c>
      <c r="AR75" s="80" t="s">
        <v>217</v>
      </c>
      <c r="AV75" s="61">
        <f t="shared" si="21"/>
        <v>3</v>
      </c>
      <c r="AW75" s="80" t="s">
        <v>217</v>
      </c>
      <c r="BD75" s="80" t="s">
        <v>217</v>
      </c>
      <c r="BE75" s="80" t="s">
        <v>217</v>
      </c>
      <c r="BI75" s="80" t="s">
        <v>217</v>
      </c>
      <c r="BJ75" s="80" t="s">
        <v>217</v>
      </c>
      <c r="BL75" s="80" t="s">
        <v>217</v>
      </c>
      <c r="BN75" s="80" t="s">
        <v>217</v>
      </c>
      <c r="BO75" s="218" t="str">
        <f t="shared" si="47"/>
        <v/>
      </c>
      <c r="BP75" s="61">
        <f t="shared" si="33"/>
        <v>2</v>
      </c>
      <c r="BS75" s="80" t="s">
        <v>217</v>
      </c>
      <c r="BT75" s="80" t="s">
        <v>217</v>
      </c>
      <c r="BU75" s="80" t="s">
        <v>217</v>
      </c>
      <c r="BY75" s="80" t="s">
        <v>217</v>
      </c>
      <c r="CD75" s="80" t="s">
        <v>217</v>
      </c>
      <c r="CH75" s="80" t="s">
        <v>217</v>
      </c>
      <c r="CM75" s="61">
        <f t="shared" si="22"/>
        <v>2</v>
      </c>
      <c r="CR75" s="114" t="s">
        <v>217</v>
      </c>
      <c r="CS75" s="61">
        <f t="shared" si="23"/>
        <v>1</v>
      </c>
      <c r="CU75" s="80" t="s">
        <v>217</v>
      </c>
      <c r="CV75" s="61" t="str">
        <f t="shared" si="24"/>
        <v/>
      </c>
      <c r="CW75" s="61" t="str">
        <f t="shared" si="25"/>
        <v/>
      </c>
      <c r="CX75" s="61" t="str">
        <f t="shared" si="26"/>
        <v>FA</v>
      </c>
      <c r="DE75" s="123"/>
      <c r="DG75" s="80" t="s">
        <v>217</v>
      </c>
      <c r="DH75" s="61" t="str">
        <f t="shared" si="27"/>
        <v/>
      </c>
      <c r="DI75" s="80" t="s">
        <v>217</v>
      </c>
      <c r="DK75" s="61" t="str">
        <f t="shared" si="38"/>
        <v/>
      </c>
      <c r="DL75" s="61" t="str">
        <f t="shared" si="39"/>
        <v/>
      </c>
      <c r="DP75" s="80" t="s">
        <v>217</v>
      </c>
      <c r="DZ75" s="80" t="s">
        <v>217</v>
      </c>
      <c r="EA75" s="80" t="s">
        <v>1172</v>
      </c>
      <c r="ED75" s="80">
        <v>1.0</v>
      </c>
      <c r="EE75" s="80" t="s">
        <v>1173</v>
      </c>
      <c r="EF75" s="116"/>
      <c r="EI75" s="80" t="s">
        <v>217</v>
      </c>
    </row>
    <row r="76" ht="1.5" customHeight="1">
      <c r="A76" s="80" t="s">
        <v>1175</v>
      </c>
      <c r="B76" s="113" t="s">
        <v>1176</v>
      </c>
      <c r="C76" s="80" t="s">
        <v>245</v>
      </c>
      <c r="D76" s="80" t="s">
        <v>1177</v>
      </c>
      <c r="E76" s="73" t="s">
        <v>217</v>
      </c>
      <c r="F76" s="80" t="s">
        <v>210</v>
      </c>
      <c r="G76" s="80" t="s">
        <v>211</v>
      </c>
      <c r="H76" s="61" t="str">
        <f t="shared" si="3"/>
        <v/>
      </c>
      <c r="I76" s="61" t="str">
        <f t="shared" si="4"/>
        <v/>
      </c>
      <c r="J76" s="61" t="str">
        <f t="shared" si="5"/>
        <v/>
      </c>
      <c r="K76" s="61" t="str">
        <f t="shared" si="6"/>
        <v/>
      </c>
      <c r="L76" s="61">
        <f t="shared" si="7"/>
        <v>1</v>
      </c>
      <c r="M76" s="61" t="str">
        <f t="shared" si="8"/>
        <v/>
      </c>
      <c r="N76" s="61" t="b">
        <f t="shared" si="42"/>
        <v>1</v>
      </c>
      <c r="O76" s="61" t="b">
        <f t="shared" si="43"/>
        <v>1</v>
      </c>
      <c r="P76" s="80">
        <v>1.0</v>
      </c>
      <c r="Q76" s="80">
        <v>1.0</v>
      </c>
      <c r="R76" s="80">
        <v>1.0</v>
      </c>
      <c r="S76" s="61" t="b">
        <f t="shared" si="44"/>
        <v>1</v>
      </c>
      <c r="T76" s="80">
        <v>1.0</v>
      </c>
      <c r="U76" s="216">
        <v>0.0</v>
      </c>
      <c r="V76" s="216">
        <v>1.0</v>
      </c>
      <c r="X76" s="61" t="str">
        <f t="shared" si="30"/>
        <v/>
      </c>
      <c r="Y76" s="61" t="str">
        <f t="shared" si="12"/>
        <v>Benedikt:www02, </v>
      </c>
      <c r="Z76" s="114" t="s">
        <v>1178</v>
      </c>
      <c r="AA76" s="80" t="s">
        <v>266</v>
      </c>
      <c r="AC76" s="61">
        <f>countif('Charts-SLR'!A:A,AA76)</f>
        <v>1</v>
      </c>
      <c r="AD76" s="80" t="s">
        <v>1037</v>
      </c>
      <c r="AE76" s="61">
        <f t="shared" si="13"/>
        <v>0</v>
      </c>
      <c r="AF76" s="80">
        <v>2002.0</v>
      </c>
      <c r="AG76" s="80" t="s">
        <v>250</v>
      </c>
      <c r="AH76" s="80">
        <v>2.0</v>
      </c>
      <c r="AI76" s="108">
        <f t="shared" si="14"/>
        <v>0.2</v>
      </c>
      <c r="AJ76" s="61" t="str">
        <f t="shared" si="15"/>
        <v/>
      </c>
      <c r="AK76" s="61">
        <f t="shared" si="16"/>
        <v>2</v>
      </c>
      <c r="AL76" s="61" t="str">
        <f t="shared" si="17"/>
        <v/>
      </c>
      <c r="AM76" s="61" t="str">
        <f t="shared" si="18"/>
        <v/>
      </c>
      <c r="AN76" s="61" t="str">
        <f t="shared" si="19"/>
        <v/>
      </c>
      <c r="AO76" s="61" t="str">
        <f t="shared" si="20"/>
        <v/>
      </c>
      <c r="AP76" s="80" t="s">
        <v>217</v>
      </c>
      <c r="AQ76" s="80" t="s">
        <v>217</v>
      </c>
      <c r="AV76" s="61">
        <f t="shared" si="21"/>
        <v>2</v>
      </c>
      <c r="AW76" s="80" t="s">
        <v>217</v>
      </c>
      <c r="BD76" s="80" t="s">
        <v>217</v>
      </c>
      <c r="BF76" s="80" t="s">
        <v>217</v>
      </c>
      <c r="BI76" s="80" t="s">
        <v>217</v>
      </c>
      <c r="BJ76" s="80" t="s">
        <v>217</v>
      </c>
      <c r="BM76" s="80" t="s">
        <v>217</v>
      </c>
      <c r="BO76" s="218" t="str">
        <f t="shared" si="47"/>
        <v/>
      </c>
      <c r="BP76" s="61">
        <f t="shared" si="33"/>
        <v>1</v>
      </c>
      <c r="BS76" s="80" t="s">
        <v>217</v>
      </c>
      <c r="BY76" s="80" t="s">
        <v>217</v>
      </c>
      <c r="CF76" s="80" t="s">
        <v>217</v>
      </c>
      <c r="CM76" s="61">
        <f t="shared" si="22"/>
        <v>1</v>
      </c>
      <c r="CN76" s="80" t="s">
        <v>217</v>
      </c>
      <c r="CS76" s="61">
        <f t="shared" si="23"/>
        <v>1</v>
      </c>
      <c r="CU76" s="80" t="s">
        <v>217</v>
      </c>
      <c r="CV76" s="61" t="str">
        <f t="shared" si="24"/>
        <v/>
      </c>
      <c r="CW76" s="61" t="str">
        <f t="shared" si="25"/>
        <v/>
      </c>
      <c r="CX76" s="61" t="str">
        <f t="shared" si="26"/>
        <v>FA</v>
      </c>
      <c r="DG76" s="80" t="s">
        <v>217</v>
      </c>
      <c r="DH76" s="61" t="str">
        <f t="shared" si="27"/>
        <v/>
      </c>
      <c r="DI76" s="80" t="s">
        <v>217</v>
      </c>
      <c r="DK76" s="61" t="str">
        <f t="shared" si="38"/>
        <v/>
      </c>
      <c r="DL76" s="61" t="str">
        <f t="shared" si="39"/>
        <v/>
      </c>
      <c r="DM76" s="80" t="s">
        <v>217</v>
      </c>
      <c r="DO76" s="80" t="s">
        <v>217</v>
      </c>
      <c r="DY76" s="80" t="s">
        <v>217</v>
      </c>
      <c r="EB76" s="80" t="s">
        <v>1179</v>
      </c>
      <c r="ED76" s="80">
        <v>2.0</v>
      </c>
      <c r="EE76" s="80" t="s">
        <v>1180</v>
      </c>
      <c r="EF76" s="116"/>
      <c r="EJ76" s="80" t="s">
        <v>217</v>
      </c>
    </row>
    <row r="77" ht="1.5" customHeight="1">
      <c r="A77" s="80" t="s">
        <v>1188</v>
      </c>
      <c r="B77" s="113" t="s">
        <v>1189</v>
      </c>
      <c r="C77" s="80" t="s">
        <v>209</v>
      </c>
      <c r="D77" s="80" t="s">
        <v>1190</v>
      </c>
      <c r="E77" s="73" t="s">
        <v>217</v>
      </c>
      <c r="F77" s="80" t="s">
        <v>245</v>
      </c>
      <c r="G77" s="80" t="s">
        <v>211</v>
      </c>
      <c r="H77" s="61" t="str">
        <f t="shared" si="3"/>
        <v/>
      </c>
      <c r="I77" s="61">
        <f t="shared" si="4"/>
        <v>1</v>
      </c>
      <c r="J77" s="61" t="str">
        <f t="shared" si="5"/>
        <v/>
      </c>
      <c r="K77" s="61" t="str">
        <f t="shared" si="6"/>
        <v/>
      </c>
      <c r="L77" s="61" t="str">
        <f t="shared" si="7"/>
        <v/>
      </c>
      <c r="M77" s="61" t="str">
        <f t="shared" si="8"/>
        <v/>
      </c>
      <c r="N77" s="61" t="b">
        <f t="shared" si="42"/>
        <v>1</v>
      </c>
      <c r="O77" s="61" t="b">
        <f t="shared" si="43"/>
        <v>1</v>
      </c>
      <c r="P77" s="80">
        <v>1.0</v>
      </c>
      <c r="Q77" s="80">
        <v>1.0</v>
      </c>
      <c r="R77" s="80">
        <v>1.0</v>
      </c>
      <c r="S77" s="61" t="b">
        <f t="shared" si="44"/>
        <v>1</v>
      </c>
      <c r="T77" s="80">
        <v>1.0</v>
      </c>
      <c r="U77" s="80">
        <v>0.0</v>
      </c>
      <c r="V77" s="80">
        <v>1.0</v>
      </c>
      <c r="X77" s="61" t="str">
        <f t="shared" si="30"/>
        <v/>
      </c>
      <c r="Y77" s="61" t="str">
        <f t="shared" si="12"/>
        <v/>
      </c>
      <c r="Z77" s="114" t="s">
        <v>213</v>
      </c>
      <c r="AA77" s="80" t="s">
        <v>214</v>
      </c>
      <c r="AC77" s="61">
        <f>countif('Charts-SLR'!A:A,AA77)</f>
        <v>1</v>
      </c>
      <c r="AD77" s="80" t="s">
        <v>450</v>
      </c>
      <c r="AE77" s="61">
        <f t="shared" si="13"/>
        <v>0</v>
      </c>
      <c r="AF77" s="80">
        <v>2005.0</v>
      </c>
      <c r="AG77" s="80" t="s">
        <v>231</v>
      </c>
      <c r="AH77" s="80">
        <v>12.0</v>
      </c>
      <c r="AI77" s="108">
        <f t="shared" si="14"/>
        <v>1.714285714</v>
      </c>
      <c r="AJ77" s="61">
        <f t="shared" si="15"/>
        <v>12</v>
      </c>
      <c r="AK77" s="61" t="str">
        <f t="shared" si="16"/>
        <v/>
      </c>
      <c r="AL77" s="61" t="str">
        <f t="shared" si="17"/>
        <v/>
      </c>
      <c r="AM77" s="61" t="str">
        <f t="shared" si="18"/>
        <v/>
      </c>
      <c r="AN77" s="61" t="str">
        <f t="shared" si="19"/>
        <v/>
      </c>
      <c r="AO77" s="61" t="str">
        <f t="shared" si="20"/>
        <v/>
      </c>
      <c r="AP77" s="80" t="s">
        <v>217</v>
      </c>
      <c r="AV77" s="61">
        <f t="shared" si="21"/>
        <v>1</v>
      </c>
      <c r="AW77" s="80" t="s">
        <v>217</v>
      </c>
      <c r="BD77" s="80" t="s">
        <v>217</v>
      </c>
      <c r="BL77" s="80" t="s">
        <v>1191</v>
      </c>
      <c r="BN77" s="80" t="s">
        <v>217</v>
      </c>
      <c r="BO77" s="218" t="str">
        <f t="shared" si="47"/>
        <v/>
      </c>
      <c r="BP77" s="61">
        <f t="shared" si="33"/>
        <v>2</v>
      </c>
      <c r="BR77" s="80" t="s">
        <v>217</v>
      </c>
      <c r="BT77" s="80" t="s">
        <v>217</v>
      </c>
      <c r="CE77" s="80" t="s">
        <v>217</v>
      </c>
      <c r="CM77" s="61">
        <f t="shared" si="22"/>
        <v>1</v>
      </c>
      <c r="CS77" s="61">
        <f t="shared" si="23"/>
        <v>0</v>
      </c>
      <c r="CU77" s="80" t="s">
        <v>217</v>
      </c>
      <c r="CV77" s="61" t="str">
        <f t="shared" si="24"/>
        <v/>
      </c>
      <c r="CW77" s="61" t="str">
        <f t="shared" si="25"/>
        <v/>
      </c>
      <c r="CX77" s="61" t="str">
        <f t="shared" si="26"/>
        <v>FA</v>
      </c>
      <c r="DA77" s="80" t="s">
        <v>217</v>
      </c>
      <c r="DG77" s="80" t="s">
        <v>217</v>
      </c>
      <c r="DH77" s="61" t="str">
        <f t="shared" si="27"/>
        <v/>
      </c>
      <c r="DI77" s="80" t="s">
        <v>217</v>
      </c>
      <c r="DK77" s="61" t="str">
        <f t="shared" si="38"/>
        <v/>
      </c>
      <c r="DL77" s="61" t="str">
        <f t="shared" si="39"/>
        <v/>
      </c>
      <c r="DO77" s="80" t="s">
        <v>217</v>
      </c>
      <c r="DS77" s="80" t="s">
        <v>217</v>
      </c>
      <c r="ED77" s="80">
        <v>11.0</v>
      </c>
      <c r="EE77" s="80" t="s">
        <v>1192</v>
      </c>
      <c r="EF77" s="112">
        <v>255938.0</v>
      </c>
      <c r="EH77" s="80" t="s">
        <v>217</v>
      </c>
    </row>
    <row r="78" ht="1.5" customHeight="1">
      <c r="A78" s="80" t="s">
        <v>1194</v>
      </c>
      <c r="B78" s="113" t="s">
        <v>1195</v>
      </c>
      <c r="C78" s="80" t="s">
        <v>210</v>
      </c>
      <c r="D78" s="80" t="s">
        <v>1196</v>
      </c>
      <c r="E78" s="73" t="s">
        <v>217</v>
      </c>
      <c r="F78" s="80" t="s">
        <v>245</v>
      </c>
      <c r="G78" s="80" t="s">
        <v>211</v>
      </c>
      <c r="H78" s="61" t="str">
        <f t="shared" si="3"/>
        <v/>
      </c>
      <c r="I78" s="61" t="str">
        <f t="shared" si="4"/>
        <v/>
      </c>
      <c r="J78" s="61" t="str">
        <f t="shared" si="5"/>
        <v/>
      </c>
      <c r="K78" s="61">
        <f t="shared" si="6"/>
        <v>1</v>
      </c>
      <c r="L78" s="61" t="str">
        <f t="shared" si="7"/>
        <v/>
      </c>
      <c r="M78" s="61" t="str">
        <f t="shared" si="8"/>
        <v/>
      </c>
      <c r="N78" s="61" t="b">
        <f t="shared" si="42"/>
        <v>1</v>
      </c>
      <c r="O78" s="61" t="b">
        <f t="shared" si="43"/>
        <v>1</v>
      </c>
      <c r="P78" s="80">
        <v>1.0</v>
      </c>
      <c r="Q78" s="80">
        <v>1.0</v>
      </c>
      <c r="R78" s="80">
        <v>1.0</v>
      </c>
      <c r="S78" s="61" t="b">
        <f t="shared" si="44"/>
        <v>1</v>
      </c>
      <c r="T78" s="80">
        <v>1.0</v>
      </c>
      <c r="U78" s="80">
        <v>1.0</v>
      </c>
      <c r="V78" s="80">
        <v>1.0</v>
      </c>
      <c r="X78" s="61" t="str">
        <f t="shared" si="30"/>
        <v>Sampath:issre06, </v>
      </c>
      <c r="Y78" s="61" t="str">
        <f t="shared" si="12"/>
        <v/>
      </c>
      <c r="Z78" s="114" t="s">
        <v>360</v>
      </c>
      <c r="AA78" s="80" t="s">
        <v>266</v>
      </c>
      <c r="AC78" s="61">
        <f>countif('Charts-SLR'!A:A,AA78)</f>
        <v>1</v>
      </c>
      <c r="AD78" s="80" t="s">
        <v>413</v>
      </c>
      <c r="AE78" s="61">
        <f t="shared" si="13"/>
        <v>0</v>
      </c>
      <c r="AF78" s="80">
        <v>2006.0</v>
      </c>
      <c r="AG78" s="80" t="s">
        <v>268</v>
      </c>
      <c r="AH78" s="80">
        <v>15.0</v>
      </c>
      <c r="AI78" s="108">
        <f t="shared" si="14"/>
        <v>2.5</v>
      </c>
      <c r="AJ78" s="61" t="str">
        <f t="shared" si="15"/>
        <v/>
      </c>
      <c r="AK78" s="61" t="str">
        <f t="shared" si="16"/>
        <v/>
      </c>
      <c r="AL78" s="61" t="str">
        <f t="shared" si="17"/>
        <v/>
      </c>
      <c r="AM78" s="61" t="str">
        <f t="shared" si="18"/>
        <v/>
      </c>
      <c r="AN78" s="61">
        <f t="shared" si="19"/>
        <v>15</v>
      </c>
      <c r="AO78" s="61" t="str">
        <f t="shared" si="20"/>
        <v>Sampath:issre06, </v>
      </c>
      <c r="AU78" s="80" t="s">
        <v>217</v>
      </c>
      <c r="AV78" s="61">
        <f t="shared" si="21"/>
        <v>1</v>
      </c>
      <c r="AY78" s="80" t="s">
        <v>217</v>
      </c>
      <c r="BD78" s="80" t="s">
        <v>217</v>
      </c>
      <c r="BG78" s="80" t="s">
        <v>217</v>
      </c>
      <c r="BL78" s="80" t="s">
        <v>217</v>
      </c>
      <c r="BN78" s="80" t="s">
        <v>217</v>
      </c>
      <c r="BO78" s="218" t="str">
        <f t="shared" si="47"/>
        <v/>
      </c>
      <c r="BP78" s="61">
        <f t="shared" si="33"/>
        <v>2</v>
      </c>
      <c r="BQ78" s="80" t="s">
        <v>217</v>
      </c>
      <c r="BV78" s="80" t="s">
        <v>217</v>
      </c>
      <c r="BX78" s="80" t="s">
        <v>217</v>
      </c>
      <c r="CB78" s="80" t="s">
        <v>217</v>
      </c>
      <c r="CM78" s="61">
        <f t="shared" si="22"/>
        <v>1</v>
      </c>
      <c r="CO78" s="80" t="s">
        <v>217</v>
      </c>
      <c r="CS78" s="61">
        <f t="shared" si="23"/>
        <v>1</v>
      </c>
      <c r="CT78" s="80" t="s">
        <v>217</v>
      </c>
      <c r="CV78" s="61" t="str">
        <f t="shared" si="24"/>
        <v/>
      </c>
      <c r="CW78" s="61" t="str">
        <f t="shared" si="25"/>
        <v>FM</v>
      </c>
      <c r="CX78" s="61" t="str">
        <f t="shared" si="26"/>
        <v/>
      </c>
      <c r="CY78" s="80" t="s">
        <v>217</v>
      </c>
      <c r="CZ78" s="80" t="s">
        <v>217</v>
      </c>
      <c r="DE78" s="80" t="s">
        <v>1378</v>
      </c>
      <c r="DG78" s="80" t="s">
        <v>217</v>
      </c>
      <c r="DH78" s="61" t="str">
        <f t="shared" si="27"/>
        <v/>
      </c>
      <c r="DJ78" s="80" t="s">
        <v>217</v>
      </c>
      <c r="DK78" s="61" t="str">
        <f t="shared" si="38"/>
        <v/>
      </c>
      <c r="DL78" s="61" t="str">
        <f t="shared" si="39"/>
        <v/>
      </c>
      <c r="DQ78" s="80" t="s">
        <v>217</v>
      </c>
      <c r="DT78" s="80" t="s">
        <v>217</v>
      </c>
      <c r="ED78" s="80">
        <v>4.0</v>
      </c>
      <c r="EE78" s="80" t="s">
        <v>1202</v>
      </c>
      <c r="EF78" s="112">
        <v>79466.0</v>
      </c>
      <c r="EI78" s="80" t="s">
        <v>217</v>
      </c>
      <c r="EJ78" s="80" t="s">
        <v>217</v>
      </c>
    </row>
    <row r="79" ht="1.5" customHeight="1">
      <c r="A79" s="80" t="s">
        <v>1204</v>
      </c>
      <c r="B79" s="113" t="s">
        <v>1205</v>
      </c>
      <c r="C79" s="80" t="s">
        <v>210</v>
      </c>
      <c r="D79" s="80" t="s">
        <v>1206</v>
      </c>
      <c r="E79" s="73" t="s">
        <v>217</v>
      </c>
      <c r="F79" s="80" t="s">
        <v>245</v>
      </c>
      <c r="G79" s="80" t="s">
        <v>211</v>
      </c>
      <c r="H79" s="61" t="str">
        <f t="shared" si="3"/>
        <v/>
      </c>
      <c r="I79" s="61" t="str">
        <f t="shared" si="4"/>
        <v/>
      </c>
      <c r="J79" s="61" t="str">
        <f t="shared" si="5"/>
        <v/>
      </c>
      <c r="K79" s="61">
        <f t="shared" si="6"/>
        <v>1</v>
      </c>
      <c r="L79" s="61" t="str">
        <f t="shared" si="7"/>
        <v/>
      </c>
      <c r="M79" s="61" t="str">
        <f t="shared" si="8"/>
        <v/>
      </c>
      <c r="N79" s="61" t="b">
        <f t="shared" si="42"/>
        <v>1</v>
      </c>
      <c r="O79" s="61" t="b">
        <f t="shared" si="43"/>
        <v>1</v>
      </c>
      <c r="P79" s="80">
        <v>1.0</v>
      </c>
      <c r="Q79" s="80">
        <v>1.0</v>
      </c>
      <c r="R79" s="80">
        <v>1.0</v>
      </c>
      <c r="S79" s="61" t="b">
        <f t="shared" si="44"/>
        <v>1</v>
      </c>
      <c r="T79" s="80">
        <v>1.0</v>
      </c>
      <c r="U79" s="80">
        <v>1.0</v>
      </c>
      <c r="X79" s="61" t="str">
        <f t="shared" si="30"/>
        <v/>
      </c>
      <c r="Y79" s="61" t="str">
        <f t="shared" si="12"/>
        <v/>
      </c>
      <c r="Z79" s="114" t="s">
        <v>1207</v>
      </c>
      <c r="AA79" s="80" t="s">
        <v>266</v>
      </c>
      <c r="AC79" s="61">
        <f>countif('Charts-SLR'!A:A,AA79)</f>
        <v>1</v>
      </c>
      <c r="AD79" s="80" t="s">
        <v>1208</v>
      </c>
      <c r="AE79" s="61">
        <f t="shared" si="13"/>
        <v>0</v>
      </c>
      <c r="AF79" s="80">
        <v>2006.0</v>
      </c>
      <c r="AG79" s="80" t="s">
        <v>231</v>
      </c>
      <c r="AH79" s="80">
        <v>6.0</v>
      </c>
      <c r="AI79" s="108">
        <f t="shared" si="14"/>
        <v>1</v>
      </c>
      <c r="AJ79" s="61">
        <f t="shared" si="15"/>
        <v>6</v>
      </c>
      <c r="AK79" s="61" t="str">
        <f t="shared" si="16"/>
        <v/>
      </c>
      <c r="AL79" s="61" t="str">
        <f t="shared" si="17"/>
        <v/>
      </c>
      <c r="AM79" s="61" t="str">
        <f t="shared" si="18"/>
        <v/>
      </c>
      <c r="AN79" s="61" t="str">
        <f t="shared" si="19"/>
        <v/>
      </c>
      <c r="AO79" s="61" t="str">
        <f t="shared" si="20"/>
        <v/>
      </c>
      <c r="AP79" s="80" t="s">
        <v>217</v>
      </c>
      <c r="AR79" s="80" t="s">
        <v>217</v>
      </c>
      <c r="AV79" s="61">
        <f t="shared" si="21"/>
        <v>2</v>
      </c>
      <c r="AX79" s="80" t="s">
        <v>217</v>
      </c>
      <c r="BD79" s="80" t="s">
        <v>217</v>
      </c>
      <c r="BG79" s="80" t="s">
        <v>217</v>
      </c>
      <c r="BL79" s="80" t="s">
        <v>217</v>
      </c>
      <c r="BM79" s="80" t="s">
        <v>217</v>
      </c>
      <c r="BO79" s="218" t="str">
        <f t="shared" si="47"/>
        <v/>
      </c>
      <c r="BP79" s="61">
        <f t="shared" si="33"/>
        <v>1</v>
      </c>
      <c r="BS79" s="80" t="s">
        <v>217</v>
      </c>
      <c r="BV79" s="80" t="s">
        <v>217</v>
      </c>
      <c r="BX79" s="80" t="s">
        <v>217</v>
      </c>
      <c r="CK79" s="80" t="s">
        <v>217</v>
      </c>
      <c r="CM79" s="61">
        <f t="shared" si="22"/>
        <v>1</v>
      </c>
      <c r="CO79" s="80" t="s">
        <v>217</v>
      </c>
      <c r="CS79" s="61">
        <f t="shared" si="23"/>
        <v>1</v>
      </c>
      <c r="CT79" s="80" t="s">
        <v>217</v>
      </c>
      <c r="CV79" s="61" t="str">
        <f t="shared" si="24"/>
        <v/>
      </c>
      <c r="CW79" s="61" t="str">
        <f t="shared" si="25"/>
        <v>FM</v>
      </c>
      <c r="CX79" s="61" t="str">
        <f t="shared" si="26"/>
        <v/>
      </c>
      <c r="DE79" s="80" t="s">
        <v>1411</v>
      </c>
      <c r="DF79" s="80" t="s">
        <v>217</v>
      </c>
      <c r="DH79" s="61" t="str">
        <f t="shared" si="27"/>
        <v/>
      </c>
      <c r="DI79" s="80" t="s">
        <v>217</v>
      </c>
      <c r="DK79" s="61" t="str">
        <f t="shared" si="38"/>
        <v/>
      </c>
      <c r="DL79" s="61" t="str">
        <f t="shared" si="39"/>
        <v/>
      </c>
      <c r="DM79" s="80" t="s">
        <v>217</v>
      </c>
      <c r="DZ79" s="80" t="s">
        <v>217</v>
      </c>
      <c r="EF79" s="116"/>
      <c r="EJ79" s="80" t="s">
        <v>217</v>
      </c>
    </row>
    <row r="80" ht="1.5" customHeight="1">
      <c r="A80" s="80" t="s">
        <v>1237</v>
      </c>
      <c r="B80" s="113" t="s">
        <v>1238</v>
      </c>
      <c r="C80" s="80" t="s">
        <v>210</v>
      </c>
      <c r="D80" s="80" t="s">
        <v>1239</v>
      </c>
      <c r="E80" s="73" t="s">
        <v>217</v>
      </c>
      <c r="F80" s="80" t="s">
        <v>245</v>
      </c>
      <c r="G80" s="80" t="s">
        <v>211</v>
      </c>
      <c r="H80" s="61" t="str">
        <f t="shared" si="3"/>
        <v/>
      </c>
      <c r="I80" s="61" t="str">
        <f t="shared" si="4"/>
        <v/>
      </c>
      <c r="J80" s="61" t="str">
        <f t="shared" si="5"/>
        <v/>
      </c>
      <c r="K80" s="61">
        <f t="shared" si="6"/>
        <v>1</v>
      </c>
      <c r="L80" s="61" t="str">
        <f t="shared" si="7"/>
        <v/>
      </c>
      <c r="M80" s="61" t="str">
        <f t="shared" si="8"/>
        <v/>
      </c>
      <c r="N80" s="61" t="b">
        <f t="shared" si="42"/>
        <v>1</v>
      </c>
      <c r="O80" s="61" t="b">
        <f t="shared" si="43"/>
        <v>1</v>
      </c>
      <c r="P80" s="80">
        <v>1.0</v>
      </c>
      <c r="Q80" s="80">
        <v>1.0</v>
      </c>
      <c r="R80" s="80">
        <v>1.0</v>
      </c>
      <c r="S80" s="61" t="b">
        <f t="shared" si="44"/>
        <v>1</v>
      </c>
      <c r="T80" s="80">
        <v>0.0</v>
      </c>
      <c r="U80" s="80">
        <v>1.0</v>
      </c>
      <c r="V80" s="80">
        <v>1.0</v>
      </c>
      <c r="W80" s="115" t="s">
        <v>1240</v>
      </c>
      <c r="X80" s="61" t="str">
        <f t="shared" si="30"/>
        <v>Sprenkle:taic08, </v>
      </c>
      <c r="Y80" s="61" t="str">
        <f t="shared" si="12"/>
        <v>Sprenkle:taic08, </v>
      </c>
      <c r="Z80" s="114" t="s">
        <v>1241</v>
      </c>
      <c r="AA80" s="80" t="s">
        <v>266</v>
      </c>
      <c r="AC80" s="61">
        <f>countif('Charts-SLR'!A:A,AA80)</f>
        <v>1</v>
      </c>
      <c r="AD80" s="80" t="s">
        <v>1242</v>
      </c>
      <c r="AE80" s="61">
        <f t="shared" si="13"/>
        <v>0</v>
      </c>
      <c r="AF80" s="80">
        <v>2008.0</v>
      </c>
      <c r="AG80" s="80" t="s">
        <v>250</v>
      </c>
      <c r="AH80" s="80">
        <v>2.0</v>
      </c>
      <c r="AI80" s="108">
        <f t="shared" si="14"/>
        <v>0.5</v>
      </c>
      <c r="AJ80" s="61" t="str">
        <f t="shared" si="15"/>
        <v/>
      </c>
      <c r="AK80" s="61">
        <f t="shared" si="16"/>
        <v>2</v>
      </c>
      <c r="AL80" s="61" t="str">
        <f t="shared" si="17"/>
        <v/>
      </c>
      <c r="AM80" s="61" t="str">
        <f t="shared" si="18"/>
        <v/>
      </c>
      <c r="AN80" s="61" t="str">
        <f t="shared" si="19"/>
        <v/>
      </c>
      <c r="AO80" s="61" t="str">
        <f t="shared" si="20"/>
        <v/>
      </c>
      <c r="AQ80" s="80" t="s">
        <v>217</v>
      </c>
      <c r="AV80" s="61">
        <f t="shared" si="21"/>
        <v>1</v>
      </c>
      <c r="AX80" s="80" t="s">
        <v>217</v>
      </c>
      <c r="BD80" s="80" t="s">
        <v>217</v>
      </c>
      <c r="BK80" s="80" t="s">
        <v>217</v>
      </c>
      <c r="BN80" s="80" t="s">
        <v>217</v>
      </c>
      <c r="BO80" s="218" t="str">
        <f t="shared" si="47"/>
        <v/>
      </c>
      <c r="BP80" s="61">
        <f t="shared" si="33"/>
        <v>2</v>
      </c>
      <c r="BS80" s="80" t="s">
        <v>217</v>
      </c>
      <c r="BT80" s="80" t="s">
        <v>217</v>
      </c>
      <c r="CD80" s="80" t="s">
        <v>217</v>
      </c>
      <c r="CM80" s="61">
        <f t="shared" si="22"/>
        <v>1</v>
      </c>
      <c r="CP80" s="80" t="s">
        <v>217</v>
      </c>
      <c r="CS80" s="61">
        <f t="shared" si="23"/>
        <v>1</v>
      </c>
      <c r="CT80" s="80" t="s">
        <v>217</v>
      </c>
      <c r="CU80" s="80" t="s">
        <v>217</v>
      </c>
      <c r="CV80" s="61" t="str">
        <f t="shared" si="24"/>
        <v>both</v>
      </c>
      <c r="CW80" s="61" t="str">
        <f t="shared" si="25"/>
        <v/>
      </c>
      <c r="CX80" s="61" t="str">
        <f t="shared" si="26"/>
        <v/>
      </c>
      <c r="CZ80" s="80" t="s">
        <v>217</v>
      </c>
      <c r="DG80" s="80" t="s">
        <v>217</v>
      </c>
      <c r="DH80" s="61" t="str">
        <f t="shared" si="27"/>
        <v/>
      </c>
      <c r="DI80" s="80" t="s">
        <v>217</v>
      </c>
      <c r="DK80" s="61" t="str">
        <f t="shared" si="38"/>
        <v/>
      </c>
      <c r="DL80" s="61" t="str">
        <f t="shared" si="39"/>
        <v/>
      </c>
      <c r="DM80" s="80" t="s">
        <v>217</v>
      </c>
      <c r="DY80" s="80" t="s">
        <v>217</v>
      </c>
      <c r="EB80" s="80" t="s">
        <v>1246</v>
      </c>
      <c r="EC80" s="80" t="s">
        <v>217</v>
      </c>
      <c r="ED80" s="80">
        <v>4.0</v>
      </c>
      <c r="EE80" s="80" t="s">
        <v>1202</v>
      </c>
      <c r="EF80" s="112">
        <v>79466.0</v>
      </c>
      <c r="EI80" s="80" t="s">
        <v>217</v>
      </c>
      <c r="EJ80" s="80" t="s">
        <v>217</v>
      </c>
    </row>
    <row r="81" ht="1.5" customHeight="1">
      <c r="A81" s="80" t="s">
        <v>1248</v>
      </c>
      <c r="B81" s="113" t="s">
        <v>1249</v>
      </c>
      <c r="C81" s="80" t="s">
        <v>210</v>
      </c>
      <c r="D81" s="80" t="s">
        <v>1250</v>
      </c>
      <c r="E81" s="73" t="s">
        <v>217</v>
      </c>
      <c r="F81" s="80" t="s">
        <v>245</v>
      </c>
      <c r="G81" s="80" t="s">
        <v>211</v>
      </c>
      <c r="H81" s="61" t="str">
        <f t="shared" si="3"/>
        <v/>
      </c>
      <c r="I81" s="61" t="str">
        <f t="shared" si="4"/>
        <v/>
      </c>
      <c r="J81" s="61" t="str">
        <f t="shared" si="5"/>
        <v/>
      </c>
      <c r="K81" s="61">
        <f t="shared" si="6"/>
        <v>1</v>
      </c>
      <c r="L81" s="61" t="str">
        <f t="shared" si="7"/>
        <v/>
      </c>
      <c r="M81" s="61" t="str">
        <f t="shared" si="8"/>
        <v/>
      </c>
      <c r="N81" s="61" t="b">
        <f t="shared" si="42"/>
        <v>1</v>
      </c>
      <c r="O81" s="61" t="b">
        <f t="shared" si="43"/>
        <v>1</v>
      </c>
      <c r="P81" s="80">
        <v>0.0</v>
      </c>
      <c r="Q81" s="80">
        <v>1.0</v>
      </c>
      <c r="R81" s="80">
        <v>1.0</v>
      </c>
      <c r="S81" s="61" t="b">
        <f t="shared" si="44"/>
        <v>1</v>
      </c>
      <c r="T81" s="80">
        <v>0.0</v>
      </c>
      <c r="U81" s="80">
        <v>1.0</v>
      </c>
      <c r="V81" s="80">
        <v>1.0</v>
      </c>
      <c r="W81" s="115" t="s">
        <v>1251</v>
      </c>
      <c r="X81" s="61" t="str">
        <f t="shared" si="30"/>
        <v/>
      </c>
      <c r="Y81" s="61" t="str">
        <f t="shared" si="12"/>
        <v/>
      </c>
      <c r="Z81" s="114" t="s">
        <v>1252</v>
      </c>
      <c r="AA81" s="80" t="s">
        <v>464</v>
      </c>
      <c r="AC81" s="61">
        <f>countif('Charts-SLR'!A:A,AA81)</f>
        <v>1</v>
      </c>
      <c r="AD81" s="80" t="s">
        <v>591</v>
      </c>
      <c r="AE81" s="61">
        <f t="shared" si="13"/>
        <v>0</v>
      </c>
      <c r="AF81" s="80">
        <v>2005.0</v>
      </c>
      <c r="AG81" s="80" t="s">
        <v>250</v>
      </c>
      <c r="AH81" s="80">
        <v>2.0</v>
      </c>
      <c r="AI81" s="108">
        <f t="shared" si="14"/>
        <v>0.2857142857</v>
      </c>
      <c r="AJ81" s="61" t="str">
        <f t="shared" si="15"/>
        <v/>
      </c>
      <c r="AK81" s="61">
        <f t="shared" si="16"/>
        <v>2</v>
      </c>
      <c r="AL81" s="61" t="str">
        <f t="shared" si="17"/>
        <v/>
      </c>
      <c r="AM81" s="61" t="str">
        <f t="shared" si="18"/>
        <v/>
      </c>
      <c r="AN81" s="61" t="str">
        <f t="shared" si="19"/>
        <v/>
      </c>
      <c r="AO81" s="61" t="str">
        <f t="shared" si="20"/>
        <v/>
      </c>
      <c r="AQ81" s="80" t="s">
        <v>217</v>
      </c>
      <c r="AV81" s="61">
        <f t="shared" si="21"/>
        <v>1</v>
      </c>
      <c r="AW81" s="80" t="s">
        <v>217</v>
      </c>
      <c r="BD81" s="80" t="s">
        <v>217</v>
      </c>
      <c r="BI81" s="80" t="s">
        <v>217</v>
      </c>
      <c r="BJ81" s="80" t="s">
        <v>217</v>
      </c>
      <c r="BN81" s="80" t="s">
        <v>217</v>
      </c>
      <c r="BO81" s="218" t="str">
        <f t="shared" si="47"/>
        <v/>
      </c>
      <c r="BP81" s="61">
        <f t="shared" si="33"/>
        <v>2</v>
      </c>
      <c r="BS81" s="80" t="s">
        <v>217</v>
      </c>
      <c r="CM81" s="61">
        <f t="shared" si="22"/>
        <v>0</v>
      </c>
      <c r="CQ81" s="80" t="s">
        <v>217</v>
      </c>
      <c r="CS81" s="61">
        <f t="shared" si="23"/>
        <v>1</v>
      </c>
      <c r="CU81" s="80" t="s">
        <v>217</v>
      </c>
      <c r="CV81" s="61" t="str">
        <f t="shared" si="24"/>
        <v/>
      </c>
      <c r="CW81" s="61" t="str">
        <f t="shared" si="25"/>
        <v/>
      </c>
      <c r="CX81" s="61" t="str">
        <f t="shared" si="26"/>
        <v>FA</v>
      </c>
      <c r="DA81" s="80" t="s">
        <v>217</v>
      </c>
      <c r="DG81" s="80" t="s">
        <v>217</v>
      </c>
      <c r="DH81" s="61" t="str">
        <f t="shared" si="27"/>
        <v/>
      </c>
      <c r="DI81" s="80" t="s">
        <v>217</v>
      </c>
      <c r="DK81" s="61" t="str">
        <f t="shared" si="38"/>
        <v/>
      </c>
      <c r="DL81" s="61" t="str">
        <f t="shared" si="39"/>
        <v/>
      </c>
      <c r="EA81" s="80" t="s">
        <v>217</v>
      </c>
      <c r="EB81" s="80" t="s">
        <v>1253</v>
      </c>
      <c r="EC81" s="80" t="s">
        <v>217</v>
      </c>
      <c r="EF81" s="116"/>
      <c r="EH81" s="80" t="s">
        <v>217</v>
      </c>
    </row>
    <row r="82" ht="1.5" customHeight="1">
      <c r="A82" s="221"/>
      <c r="B82" s="222" t="s">
        <v>1254</v>
      </c>
      <c r="C82" s="223">
        <f t="array" ref="C82">SUM.LEGACY(C84,"","")</f>
        <v>0</v>
      </c>
      <c r="D82" s="221"/>
      <c r="E82" s="232"/>
      <c r="F82" s="221"/>
      <c r="G82" s="221"/>
      <c r="H82" s="224">
        <f t="shared" ref="H82:M82" si="48">sum(H3:H81)</f>
        <v>14</v>
      </c>
      <c r="I82" s="224">
        <f t="shared" si="48"/>
        <v>13</v>
      </c>
      <c r="J82" s="224">
        <f t="shared" si="48"/>
        <v>12</v>
      </c>
      <c r="K82" s="224">
        <f t="shared" si="48"/>
        <v>13</v>
      </c>
      <c r="L82" s="224">
        <f t="shared" si="48"/>
        <v>13</v>
      </c>
      <c r="M82" s="224">
        <f t="shared" si="48"/>
        <v>14</v>
      </c>
      <c r="N82" s="221"/>
      <c r="O82" s="221"/>
      <c r="P82" s="221"/>
      <c r="Q82" s="221"/>
      <c r="R82" s="221"/>
      <c r="S82" s="221"/>
      <c r="T82" s="221"/>
      <c r="U82" s="221"/>
      <c r="V82" s="221"/>
      <c r="W82" s="225"/>
      <c r="X82" s="224" t="str">
        <f t="shared" ref="X82:Y82" si="49">CONCATENATE(X3:X81)</f>
        <v>Tonella:wse04, Sampath:ase04, Sprenkle:icst11, Sprenkle:icsm05, Sampath:tse07, Sprenkle:issre07, Sampath:icsm04, Sampath:tav06, Sampath:issre06, Sprenkle:taic08, </v>
      </c>
      <c r="Y82" s="224" t="str">
        <f t="shared" si="49"/>
        <v>Artzi:icse2011, Saxena:sp10, Ricca:icse01, Mesbah:icse2011, Sciascio:icwe05, Pattabiraman:ISSRE10, Kallepalli:tse01, Koopman:padl08, Dobolyi:issta10, Jensen:esec11, Roest:2010.icst, Amalfitano:icstw10, Li:jss10, Gerlits:syrcose10, Benedikt:www02, Sprenkle:taic08, </v>
      </c>
      <c r="Z82" s="226"/>
      <c r="AA82" s="221"/>
      <c r="AB82" s="224">
        <f>counta(AB3:AB81)</f>
        <v>8</v>
      </c>
      <c r="AC82" s="221"/>
      <c r="AD82" s="221"/>
      <c r="AE82" s="221"/>
      <c r="AF82" s="221"/>
      <c r="AG82" s="215" t="s">
        <v>1412</v>
      </c>
      <c r="AH82" s="224">
        <f t="shared" ref="AH82:AN82" si="50">AVERAGE(AH1:AH81)</f>
        <v>31.89873418</v>
      </c>
      <c r="AI82" s="224">
        <f t="shared" si="50"/>
        <v>5.548539646</v>
      </c>
      <c r="AJ82" s="224">
        <f t="shared" si="50"/>
        <v>39.69565217</v>
      </c>
      <c r="AK82" s="224">
        <f t="shared" si="50"/>
        <v>34.54285714</v>
      </c>
      <c r="AL82" s="224">
        <f t="shared" si="50"/>
        <v>11</v>
      </c>
      <c r="AM82" s="224" t="str">
        <f t="shared" si="50"/>
        <v>#DIV/0!</v>
      </c>
      <c r="AN82" s="224">
        <f t="shared" si="50"/>
        <v>23.84615385</v>
      </c>
      <c r="AO82" s="224" t="str">
        <f>CONCATENATE(AO3:AO81)</f>
        <v>Marchetto:sttt08, Sprenkle:icst11, Sprenkle:icsm05, Sprenkle:issre07, Marchetto:wse07, Sampath:tav06, Dobolyi:issta10, halfond:issta'09, Gerlits:syrcose10, Hao:icwe06, Sampath:issre06, </v>
      </c>
      <c r="AP82" s="224">
        <f t="shared" ref="AP82:AU82" si="51">counta(AP3:AP81)</f>
        <v>57</v>
      </c>
      <c r="AQ82" s="224">
        <f t="shared" si="51"/>
        <v>41</v>
      </c>
      <c r="AR82" s="224">
        <f t="shared" si="51"/>
        <v>30</v>
      </c>
      <c r="AS82" s="224">
        <f t="shared" si="51"/>
        <v>9</v>
      </c>
      <c r="AT82" s="224">
        <f t="shared" si="51"/>
        <v>6</v>
      </c>
      <c r="AU82" s="224">
        <f t="shared" si="51"/>
        <v>11</v>
      </c>
      <c r="AV82" s="221"/>
      <c r="AW82" s="224">
        <f t="shared" ref="AW82:BN82" si="52">counta(AW3:AW81)</f>
        <v>27</v>
      </c>
      <c r="AX82" s="224">
        <f t="shared" si="52"/>
        <v>41</v>
      </c>
      <c r="AY82" s="224">
        <f t="shared" si="52"/>
        <v>10</v>
      </c>
      <c r="AZ82" s="224">
        <f t="shared" si="52"/>
        <v>1</v>
      </c>
      <c r="BA82" s="224">
        <f t="shared" si="52"/>
        <v>0</v>
      </c>
      <c r="BB82" s="224">
        <f t="shared" si="52"/>
        <v>0</v>
      </c>
      <c r="BC82" s="224">
        <f t="shared" si="52"/>
        <v>0</v>
      </c>
      <c r="BD82" s="224">
        <f t="shared" si="52"/>
        <v>61</v>
      </c>
      <c r="BE82" s="224">
        <f t="shared" si="52"/>
        <v>18</v>
      </c>
      <c r="BF82" s="224">
        <f t="shared" si="52"/>
        <v>21</v>
      </c>
      <c r="BG82" s="224">
        <f t="shared" si="52"/>
        <v>50</v>
      </c>
      <c r="BH82" s="224">
        <f t="shared" si="52"/>
        <v>3</v>
      </c>
      <c r="BI82" s="224">
        <f t="shared" si="52"/>
        <v>27</v>
      </c>
      <c r="BJ82" s="224">
        <f t="shared" si="52"/>
        <v>26</v>
      </c>
      <c r="BK82" s="224">
        <f t="shared" si="52"/>
        <v>13</v>
      </c>
      <c r="BL82" s="224">
        <f t="shared" si="52"/>
        <v>23</v>
      </c>
      <c r="BM82" s="224">
        <f t="shared" si="52"/>
        <v>22</v>
      </c>
      <c r="BN82" s="224">
        <f t="shared" si="52"/>
        <v>41</v>
      </c>
      <c r="BO82" s="224">
        <f>COUNTA.LEGACY(BO3:BO81)</f>
        <v>14</v>
      </c>
      <c r="BP82" s="221"/>
      <c r="BQ82" s="224">
        <f t="shared" ref="BQ82:CL82" si="53">counta(BQ3:BQ81)</f>
        <v>39</v>
      </c>
      <c r="BR82" s="224">
        <f t="shared" si="53"/>
        <v>19</v>
      </c>
      <c r="BS82" s="224">
        <f t="shared" si="53"/>
        <v>41</v>
      </c>
      <c r="BT82" s="224">
        <f t="shared" si="53"/>
        <v>37</v>
      </c>
      <c r="BU82" s="224">
        <f t="shared" si="53"/>
        <v>5</v>
      </c>
      <c r="BV82" s="224">
        <f t="shared" si="53"/>
        <v>18</v>
      </c>
      <c r="BW82" s="224">
        <f t="shared" si="53"/>
        <v>3</v>
      </c>
      <c r="BX82" s="224">
        <f t="shared" si="53"/>
        <v>15</v>
      </c>
      <c r="BY82" s="224">
        <f t="shared" si="53"/>
        <v>14</v>
      </c>
      <c r="BZ82" s="224">
        <f t="shared" si="53"/>
        <v>7</v>
      </c>
      <c r="CA82" s="224">
        <f t="shared" si="53"/>
        <v>5</v>
      </c>
      <c r="CB82" s="224">
        <f t="shared" si="53"/>
        <v>9</v>
      </c>
      <c r="CC82" s="224">
        <f t="shared" si="53"/>
        <v>2</v>
      </c>
      <c r="CD82" s="224">
        <f t="shared" si="53"/>
        <v>21</v>
      </c>
      <c r="CE82" s="224">
        <f t="shared" si="53"/>
        <v>8</v>
      </c>
      <c r="CF82" s="224">
        <f t="shared" si="53"/>
        <v>10</v>
      </c>
      <c r="CG82" s="224">
        <f t="shared" si="53"/>
        <v>4</v>
      </c>
      <c r="CH82" s="224">
        <f t="shared" si="53"/>
        <v>7</v>
      </c>
      <c r="CI82" s="224">
        <f t="shared" si="53"/>
        <v>2</v>
      </c>
      <c r="CJ82" s="224">
        <f t="shared" si="53"/>
        <v>7</v>
      </c>
      <c r="CK82" s="224">
        <f t="shared" si="53"/>
        <v>20</v>
      </c>
      <c r="CL82" s="224">
        <f t="shared" si="53"/>
        <v>14</v>
      </c>
      <c r="CM82" s="221"/>
      <c r="CN82" s="224">
        <f t="shared" ref="CN82:CR82" si="54">counta(CN3:CN81)</f>
        <v>39</v>
      </c>
      <c r="CO82" s="224">
        <f t="shared" si="54"/>
        <v>19</v>
      </c>
      <c r="CP82" s="224">
        <f t="shared" si="54"/>
        <v>17</v>
      </c>
      <c r="CQ82" s="224">
        <f t="shared" si="54"/>
        <v>12</v>
      </c>
      <c r="CR82" s="224">
        <f t="shared" si="54"/>
        <v>14</v>
      </c>
      <c r="CS82" s="221"/>
      <c r="CT82" s="224">
        <f t="shared" ref="CT82:CU82" si="55">counta(CT3:CT81)</f>
        <v>27</v>
      </c>
      <c r="CU82" s="224">
        <f t="shared" si="55"/>
        <v>69</v>
      </c>
      <c r="CV82" s="224">
        <f t="shared" ref="CV82:CX82" si="56">COUNTA.LEGACY(CV3:CV81)</f>
        <v>20</v>
      </c>
      <c r="CW82" s="224">
        <f t="shared" si="56"/>
        <v>7</v>
      </c>
      <c r="CX82" s="224">
        <f t="shared" si="56"/>
        <v>49</v>
      </c>
      <c r="CY82" s="224">
        <f t="shared" ref="CY82:DG82" si="57">counta(CY3:CY81)</f>
        <v>28</v>
      </c>
      <c r="CZ82" s="224">
        <f t="shared" si="57"/>
        <v>24</v>
      </c>
      <c r="DA82" s="224">
        <f t="shared" si="57"/>
        <v>26</v>
      </c>
      <c r="DB82" s="224">
        <f t="shared" si="57"/>
        <v>8</v>
      </c>
      <c r="DC82" s="224">
        <f t="shared" si="57"/>
        <v>11</v>
      </c>
      <c r="DD82" s="224">
        <f t="shared" si="57"/>
        <v>5</v>
      </c>
      <c r="DE82" s="224">
        <f t="shared" si="57"/>
        <v>9</v>
      </c>
      <c r="DF82" s="224">
        <f t="shared" si="57"/>
        <v>4</v>
      </c>
      <c r="DG82" s="224">
        <f t="shared" si="57"/>
        <v>75</v>
      </c>
      <c r="DH82" s="224">
        <f>COUNTA.LEGACY(DH3:DH81)</f>
        <v>0</v>
      </c>
      <c r="DI82" s="224">
        <f t="shared" ref="DI82:DJ82" si="58">counta(DI3:DI81)</f>
        <v>66</v>
      </c>
      <c r="DJ82" s="224">
        <f t="shared" si="58"/>
        <v>13</v>
      </c>
      <c r="DK82" s="224">
        <f t="shared" ref="DK82:DL82" si="59">COUNTA.LEGACY(DK3:DK81)</f>
        <v>0</v>
      </c>
      <c r="DL82" s="224">
        <f t="shared" si="59"/>
        <v>1</v>
      </c>
      <c r="DM82" s="224">
        <f t="shared" ref="DM82:EG82" si="60">counta(DM3:DM81)</f>
        <v>28</v>
      </c>
      <c r="DN82" s="224">
        <f t="shared" si="60"/>
        <v>14</v>
      </c>
      <c r="DO82" s="224">
        <f t="shared" si="60"/>
        <v>24</v>
      </c>
      <c r="DP82" s="224">
        <f t="shared" si="60"/>
        <v>23</v>
      </c>
      <c r="DQ82" s="224">
        <f t="shared" si="60"/>
        <v>9</v>
      </c>
      <c r="DR82" s="224">
        <f t="shared" si="60"/>
        <v>1</v>
      </c>
      <c r="DS82" s="224">
        <f t="shared" si="60"/>
        <v>17</v>
      </c>
      <c r="DT82" s="224">
        <f t="shared" si="60"/>
        <v>25</v>
      </c>
      <c r="DU82" s="224">
        <f t="shared" si="60"/>
        <v>5</v>
      </c>
      <c r="DV82" s="224">
        <f t="shared" si="60"/>
        <v>0</v>
      </c>
      <c r="DW82" s="224">
        <f t="shared" si="60"/>
        <v>0</v>
      </c>
      <c r="DX82" s="224">
        <f t="shared" si="60"/>
        <v>2</v>
      </c>
      <c r="DY82" s="224">
        <f t="shared" si="60"/>
        <v>16</v>
      </c>
      <c r="DZ82" s="224">
        <f t="shared" si="60"/>
        <v>11</v>
      </c>
      <c r="EA82" s="224">
        <f t="shared" si="60"/>
        <v>6</v>
      </c>
      <c r="EB82" s="224">
        <f t="shared" si="60"/>
        <v>41</v>
      </c>
      <c r="EC82" s="224">
        <f t="shared" si="60"/>
        <v>6</v>
      </c>
      <c r="ED82" s="224">
        <f t="shared" si="60"/>
        <v>64</v>
      </c>
      <c r="EE82" s="224">
        <f t="shared" si="60"/>
        <v>63</v>
      </c>
      <c r="EF82" s="224">
        <f t="shared" si="60"/>
        <v>41</v>
      </c>
      <c r="EG82" s="224">
        <f t="shared" si="60"/>
        <v>45</v>
      </c>
      <c r="EH82" s="221"/>
      <c r="EI82" s="221"/>
      <c r="EJ82" s="221"/>
      <c r="EK82" s="221"/>
    </row>
    <row r="83" ht="1.5" customHeight="1">
      <c r="A83" s="158"/>
      <c r="B83" s="227" t="s">
        <v>1413</v>
      </c>
      <c r="C83" s="159">
        <f>C82/3</f>
        <v>0</v>
      </c>
      <c r="D83" s="158"/>
      <c r="E83" s="163"/>
      <c r="F83" s="158"/>
      <c r="G83" s="158"/>
      <c r="H83" s="162" t="s">
        <v>1414</v>
      </c>
      <c r="N83" s="158"/>
      <c r="O83" s="158"/>
      <c r="P83" s="158"/>
      <c r="Q83" s="158"/>
      <c r="R83" s="158"/>
      <c r="S83" s="158"/>
      <c r="T83" s="158"/>
      <c r="U83" s="158"/>
      <c r="V83" s="158"/>
      <c r="W83" s="159"/>
      <c r="X83" s="158"/>
      <c r="Y83" s="158"/>
      <c r="Z83" s="161"/>
      <c r="AA83" s="158"/>
      <c r="AB83" s="158"/>
      <c r="AC83" s="158"/>
      <c r="AD83" s="158"/>
      <c r="AE83" s="158"/>
      <c r="AF83" s="158"/>
      <c r="AG83" s="162" t="s">
        <v>1255</v>
      </c>
      <c r="AH83" s="158">
        <f t="shared" ref="AH83:AN83" si="61">sum(AH1:AH81)</f>
        <v>2520</v>
      </c>
      <c r="AI83" s="158">
        <f t="shared" si="61"/>
        <v>438.334632</v>
      </c>
      <c r="AJ83" s="158">
        <f t="shared" si="61"/>
        <v>913</v>
      </c>
      <c r="AK83" s="158">
        <f t="shared" si="61"/>
        <v>1209</v>
      </c>
      <c r="AL83" s="158">
        <f t="shared" si="61"/>
        <v>88</v>
      </c>
      <c r="AM83" s="158">
        <f t="shared" si="61"/>
        <v>0</v>
      </c>
      <c r="AN83" s="158">
        <f t="shared" si="61"/>
        <v>310</v>
      </c>
      <c r="AO83" s="158"/>
      <c r="AP83" s="158">
        <f>AP82/79</f>
        <v>0.7215189873</v>
      </c>
      <c r="AQ83" s="158">
        <f t="shared" ref="AQ83:BB83" si="62">100*AQ82/79</f>
        <v>51.89873418</v>
      </c>
      <c r="AR83" s="158">
        <f t="shared" si="62"/>
        <v>37.97468354</v>
      </c>
      <c r="AS83" s="158">
        <f t="shared" si="62"/>
        <v>11.39240506</v>
      </c>
      <c r="AT83" s="158">
        <f t="shared" si="62"/>
        <v>7.594936709</v>
      </c>
      <c r="AU83" s="158">
        <f t="shared" si="62"/>
        <v>13.92405063</v>
      </c>
      <c r="AV83" s="158">
        <f t="shared" si="62"/>
        <v>0</v>
      </c>
      <c r="AW83" s="158">
        <f t="shared" si="62"/>
        <v>34.17721519</v>
      </c>
      <c r="AX83" s="158">
        <f t="shared" si="62"/>
        <v>51.89873418</v>
      </c>
      <c r="AY83" s="158">
        <f t="shared" si="62"/>
        <v>12.65822785</v>
      </c>
      <c r="AZ83" s="158">
        <f t="shared" si="62"/>
        <v>1.265822785</v>
      </c>
      <c r="BA83" s="158">
        <f t="shared" si="62"/>
        <v>0</v>
      </c>
      <c r="BB83" s="158">
        <f t="shared" si="62"/>
        <v>0</v>
      </c>
      <c r="BC83" s="158">
        <f>BC82/79</f>
        <v>0</v>
      </c>
      <c r="BD83" s="158">
        <f t="shared" ref="BD83:BO83" si="63">100*BD82/79</f>
        <v>77.21518987</v>
      </c>
      <c r="BE83" s="158">
        <f t="shared" si="63"/>
        <v>22.78481013</v>
      </c>
      <c r="BF83" s="158">
        <f t="shared" si="63"/>
        <v>26.58227848</v>
      </c>
      <c r="BG83" s="158">
        <f t="shared" si="63"/>
        <v>63.29113924</v>
      </c>
      <c r="BH83" s="158">
        <f t="shared" si="63"/>
        <v>3.797468354</v>
      </c>
      <c r="BI83" s="158">
        <f t="shared" si="63"/>
        <v>34.17721519</v>
      </c>
      <c r="BJ83" s="158">
        <f t="shared" si="63"/>
        <v>32.91139241</v>
      </c>
      <c r="BK83" s="158">
        <f t="shared" si="63"/>
        <v>16.4556962</v>
      </c>
      <c r="BL83" s="158">
        <f t="shared" si="63"/>
        <v>29.11392405</v>
      </c>
      <c r="BM83" s="158">
        <f t="shared" si="63"/>
        <v>27.84810127</v>
      </c>
      <c r="BN83" s="158">
        <f t="shared" si="63"/>
        <v>51.89873418</v>
      </c>
      <c r="BO83" s="158">
        <f t="shared" si="63"/>
        <v>17.72151899</v>
      </c>
      <c r="BP83" s="158"/>
      <c r="BQ83" s="158">
        <f t="shared" ref="BQ83:CL83" si="64">100*BQ82/79</f>
        <v>49.36708861</v>
      </c>
      <c r="BR83" s="158">
        <f t="shared" si="64"/>
        <v>24.05063291</v>
      </c>
      <c r="BS83" s="158">
        <f t="shared" si="64"/>
        <v>51.89873418</v>
      </c>
      <c r="BT83" s="158">
        <f t="shared" si="64"/>
        <v>46.83544304</v>
      </c>
      <c r="BU83" s="158">
        <f t="shared" si="64"/>
        <v>6.329113924</v>
      </c>
      <c r="BV83" s="158">
        <f t="shared" si="64"/>
        <v>22.78481013</v>
      </c>
      <c r="BW83" s="158">
        <f t="shared" si="64"/>
        <v>3.797468354</v>
      </c>
      <c r="BX83" s="158">
        <f t="shared" si="64"/>
        <v>18.98734177</v>
      </c>
      <c r="BY83" s="158">
        <f t="shared" si="64"/>
        <v>17.72151899</v>
      </c>
      <c r="BZ83" s="158">
        <f t="shared" si="64"/>
        <v>8.860759494</v>
      </c>
      <c r="CA83" s="158">
        <f t="shared" si="64"/>
        <v>6.329113924</v>
      </c>
      <c r="CB83" s="158">
        <f t="shared" si="64"/>
        <v>11.39240506</v>
      </c>
      <c r="CC83" s="158">
        <f t="shared" si="64"/>
        <v>2.53164557</v>
      </c>
      <c r="CD83" s="158">
        <f t="shared" si="64"/>
        <v>26.58227848</v>
      </c>
      <c r="CE83" s="158">
        <f t="shared" si="64"/>
        <v>10.12658228</v>
      </c>
      <c r="CF83" s="158">
        <f t="shared" si="64"/>
        <v>12.65822785</v>
      </c>
      <c r="CG83" s="158">
        <f t="shared" si="64"/>
        <v>5.063291139</v>
      </c>
      <c r="CH83" s="158">
        <f t="shared" si="64"/>
        <v>8.860759494</v>
      </c>
      <c r="CI83" s="158">
        <f t="shared" si="64"/>
        <v>2.53164557</v>
      </c>
      <c r="CJ83" s="158">
        <f t="shared" si="64"/>
        <v>8.860759494</v>
      </c>
      <c r="CK83" s="158">
        <f t="shared" si="64"/>
        <v>25.3164557</v>
      </c>
      <c r="CL83" s="158">
        <f t="shared" si="64"/>
        <v>17.72151899</v>
      </c>
      <c r="CM83" s="158"/>
      <c r="CN83" s="158">
        <f t="shared" ref="CN83:CR83" si="65">100*CN82/79</f>
        <v>49.36708861</v>
      </c>
      <c r="CO83" s="158">
        <f t="shared" si="65"/>
        <v>24.05063291</v>
      </c>
      <c r="CP83" s="158">
        <f t="shared" si="65"/>
        <v>21.51898734</v>
      </c>
      <c r="CQ83" s="158">
        <f t="shared" si="65"/>
        <v>15.18987342</v>
      </c>
      <c r="CR83" s="158">
        <f t="shared" si="65"/>
        <v>17.72151899</v>
      </c>
      <c r="CS83" s="158"/>
      <c r="CT83" s="158">
        <f t="shared" ref="CT83:DG83" si="66">100*CT82/79</f>
        <v>34.17721519</v>
      </c>
      <c r="CU83" s="158">
        <f t="shared" si="66"/>
        <v>87.34177215</v>
      </c>
      <c r="CV83" s="158">
        <f t="shared" si="66"/>
        <v>25.3164557</v>
      </c>
      <c r="CW83" s="158">
        <f t="shared" si="66"/>
        <v>8.860759494</v>
      </c>
      <c r="CX83" s="158">
        <f t="shared" si="66"/>
        <v>62.02531646</v>
      </c>
      <c r="CY83" s="158">
        <f t="shared" si="66"/>
        <v>35.44303797</v>
      </c>
      <c r="CZ83" s="158">
        <f t="shared" si="66"/>
        <v>30.37974684</v>
      </c>
      <c r="DA83" s="158">
        <f t="shared" si="66"/>
        <v>32.91139241</v>
      </c>
      <c r="DB83" s="158">
        <f t="shared" si="66"/>
        <v>10.12658228</v>
      </c>
      <c r="DC83" s="158">
        <f t="shared" si="66"/>
        <v>13.92405063</v>
      </c>
      <c r="DD83" s="158">
        <f t="shared" si="66"/>
        <v>6.329113924</v>
      </c>
      <c r="DE83" s="158">
        <f t="shared" si="66"/>
        <v>11.39240506</v>
      </c>
      <c r="DF83" s="158">
        <f t="shared" si="66"/>
        <v>5.063291139</v>
      </c>
      <c r="DG83" s="158">
        <f t="shared" si="66"/>
        <v>94.93670886</v>
      </c>
      <c r="DH83" s="158"/>
      <c r="DI83" s="158">
        <f t="shared" ref="DI83:DJ83" si="67">100*DI82/79</f>
        <v>83.5443038</v>
      </c>
      <c r="DJ83" s="158">
        <f t="shared" si="67"/>
        <v>16.4556962</v>
      </c>
      <c r="DK83" s="158"/>
      <c r="DL83" s="158"/>
      <c r="DM83" s="158">
        <f t="shared" ref="DM83:EH83" si="68">100*DM82/79</f>
        <v>35.44303797</v>
      </c>
      <c r="DN83" s="158">
        <f t="shared" si="68"/>
        <v>17.72151899</v>
      </c>
      <c r="DO83" s="158">
        <f t="shared" si="68"/>
        <v>30.37974684</v>
      </c>
      <c r="DP83" s="158">
        <f t="shared" si="68"/>
        <v>29.11392405</v>
      </c>
      <c r="DQ83" s="158">
        <f t="shared" si="68"/>
        <v>11.39240506</v>
      </c>
      <c r="DR83" s="158">
        <f t="shared" si="68"/>
        <v>1.265822785</v>
      </c>
      <c r="DS83" s="158">
        <f t="shared" si="68"/>
        <v>21.51898734</v>
      </c>
      <c r="DT83" s="158">
        <f t="shared" si="68"/>
        <v>31.64556962</v>
      </c>
      <c r="DU83" s="158">
        <f t="shared" si="68"/>
        <v>6.329113924</v>
      </c>
      <c r="DV83" s="158">
        <f t="shared" si="68"/>
        <v>0</v>
      </c>
      <c r="DW83" s="158">
        <f t="shared" si="68"/>
        <v>0</v>
      </c>
      <c r="DX83" s="158">
        <f t="shared" si="68"/>
        <v>2.53164557</v>
      </c>
      <c r="DY83" s="158">
        <f t="shared" si="68"/>
        <v>20.25316456</v>
      </c>
      <c r="DZ83" s="158">
        <f t="shared" si="68"/>
        <v>13.92405063</v>
      </c>
      <c r="EA83" s="158">
        <f t="shared" si="68"/>
        <v>7.594936709</v>
      </c>
      <c r="EB83" s="158">
        <f t="shared" si="68"/>
        <v>51.89873418</v>
      </c>
      <c r="EC83" s="158">
        <f t="shared" si="68"/>
        <v>7.594936709</v>
      </c>
      <c r="ED83" s="158">
        <f t="shared" si="68"/>
        <v>81.01265823</v>
      </c>
      <c r="EE83" s="158">
        <f t="shared" si="68"/>
        <v>79.74683544</v>
      </c>
      <c r="EF83" s="158">
        <f t="shared" si="68"/>
        <v>51.89873418</v>
      </c>
      <c r="EG83" s="158">
        <f t="shared" si="68"/>
        <v>56.96202532</v>
      </c>
      <c r="EH83" s="158">
        <f t="shared" si="68"/>
        <v>0</v>
      </c>
      <c r="EI83" s="158"/>
      <c r="EJ83" s="158"/>
      <c r="EK83" s="158"/>
    </row>
    <row r="84" ht="1.5" customHeight="1">
      <c r="B84" s="164"/>
      <c r="C84" s="13">
        <f>countif(C3:C81,B84)</f>
        <v>0</v>
      </c>
      <c r="E84" s="16"/>
      <c r="F84" s="13">
        <f>H82+L82</f>
        <v>27</v>
      </c>
      <c r="G84" s="10"/>
      <c r="H84" s="10"/>
      <c r="I84" s="10"/>
      <c r="J84" s="10"/>
      <c r="K84" s="10"/>
      <c r="L84" s="10"/>
      <c r="M84" s="10"/>
      <c r="N84" s="10"/>
      <c r="W84" s="10"/>
      <c r="Z84" s="127"/>
      <c r="AG84" s="80" t="s">
        <v>1256</v>
      </c>
      <c r="AH84" s="61">
        <f t="shared" ref="AH84:AI84" si="69">STDEV(AH3:AH81)</f>
        <v>60.87894565</v>
      </c>
      <c r="AI84" s="61">
        <f t="shared" si="69"/>
        <v>7.795990293</v>
      </c>
      <c r="BO84" s="122"/>
      <c r="EF84" s="116">
        <f>average(EF3:EF81)</f>
        <v>74725.80488</v>
      </c>
    </row>
    <row r="85" ht="1.5" customHeight="1">
      <c r="B85" s="164"/>
      <c r="C85" s="10"/>
      <c r="E85" s="16"/>
      <c r="F85" s="10"/>
      <c r="G85" s="10"/>
      <c r="H85" s="10"/>
      <c r="I85" s="10"/>
      <c r="J85" s="10"/>
      <c r="K85" s="10"/>
      <c r="L85" s="10"/>
      <c r="M85" s="10"/>
      <c r="N85" s="10"/>
      <c r="W85" s="10"/>
      <c r="Z85" s="127"/>
      <c r="AF85" s="80" t="s">
        <v>1523</v>
      </c>
      <c r="AG85" s="61">
        <f>CORREL(AF3:AF81,AH3:AH81)</f>
        <v>-0.471006713</v>
      </c>
      <c r="BO85" s="122"/>
      <c r="EF85" s="116"/>
    </row>
  </sheetData>
  <mergeCells count="21">
    <mergeCell ref="G1:M1"/>
    <mergeCell ref="N1:V1"/>
    <mergeCell ref="Z1:AN1"/>
    <mergeCell ref="AP1:AV1"/>
    <mergeCell ref="AW1:BC1"/>
    <mergeCell ref="BD1:BF1"/>
    <mergeCell ref="H83:M83"/>
    <mergeCell ref="DF1:DG1"/>
    <mergeCell ref="DI1:DJ1"/>
    <mergeCell ref="DM1:DR1"/>
    <mergeCell ref="DS1:EA1"/>
    <mergeCell ref="EB1:EC1"/>
    <mergeCell ref="ED1:EJ1"/>
    <mergeCell ref="BM1:BO1"/>
    <mergeCell ref="BQ1:BS1"/>
    <mergeCell ref="BT1:CA1"/>
    <mergeCell ref="CB1:CM1"/>
    <mergeCell ref="CN1:CS1"/>
    <mergeCell ref="CT1:CX1"/>
    <mergeCell ref="BG1:BL1"/>
    <mergeCell ref="CY1:DE1"/>
  </mergeCells>
  <conditionalFormatting sqref="F3:F23">
    <cfRule type="containsBlanks" dxfId="0" priority="1">
      <formula>LEN(TRIM(F3))=0</formula>
    </cfRule>
  </conditionalFormatting>
  <conditionalFormatting sqref="F28:F29">
    <cfRule type="containsBlanks" dxfId="0" priority="2">
      <formula>LEN(TRIM(F28))=0</formula>
    </cfRule>
  </conditionalFormatting>
  <conditionalFormatting sqref="F31:F33">
    <cfRule type="containsBlanks" dxfId="0" priority="3">
      <formula>LEN(TRIM(F31))=0</formula>
    </cfRule>
  </conditionalFormatting>
  <conditionalFormatting sqref="F35">
    <cfRule type="containsBlanks" dxfId="0" priority="4">
      <formula>LEN(TRIM(F35))=0</formula>
    </cfRule>
  </conditionalFormatting>
  <conditionalFormatting sqref="F46:F47">
    <cfRule type="containsBlanks" dxfId="0" priority="5">
      <formula>LEN(TRIM(F46))=0</formula>
    </cfRule>
  </conditionalFormatting>
  <conditionalFormatting sqref="F49">
    <cfRule type="containsBlanks" dxfId="0" priority="6">
      <formula>LEN(TRIM(F49))=0</formula>
    </cfRule>
  </conditionalFormatting>
  <conditionalFormatting sqref="F52:F54">
    <cfRule type="containsBlanks" dxfId="0" priority="7">
      <formula>LEN(TRIM(F52))=0</formula>
    </cfRule>
  </conditionalFormatting>
  <conditionalFormatting sqref="F56">
    <cfRule type="containsBlanks" dxfId="0" priority="8">
      <formula>LEN(TRIM(F56))=0</formula>
    </cfRule>
  </conditionalFormatting>
  <conditionalFormatting sqref="F59">
    <cfRule type="containsBlanks" dxfId="0" priority="9">
      <formula>LEN(TRIM(F59))=0</formula>
    </cfRule>
  </conditionalFormatting>
  <conditionalFormatting sqref="F61">
    <cfRule type="containsBlanks" dxfId="0" priority="10">
      <formula>LEN(TRIM(F61))=0</formula>
    </cfRule>
  </conditionalFormatting>
  <conditionalFormatting sqref="F63:F66">
    <cfRule type="containsBlanks" dxfId="0" priority="11">
      <formula>LEN(TRIM(F63))=0</formula>
    </cfRule>
  </conditionalFormatting>
  <conditionalFormatting sqref="F68:F81">
    <cfRule type="containsBlanks" dxfId="0" priority="12">
      <formula>LEN(TRIM(F68))=0</formula>
    </cfRule>
  </conditionalFormatting>
  <conditionalFormatting sqref="AC1:AC84">
    <cfRule type="cellIs" dxfId="1" priority="13" operator="equal">
      <formula>0</formula>
    </cfRule>
  </conditionalFormatting>
  <conditionalFormatting sqref="C2:C84">
    <cfRule type="containsBlanks" dxfId="3" priority="14">
      <formula>LEN(TRIM(C2))=0</formula>
    </cfRule>
  </conditionalFormatting>
  <conditionalFormatting sqref="E2:E84">
    <cfRule type="containsBlanks" dxfId="3" priority="15">
      <formula>LEN(TRIM(E2))=0</formula>
    </cfRule>
  </conditionalFormatting>
  <conditionalFormatting sqref="F24:F27">
    <cfRule type="containsBlanks" dxfId="3" priority="16">
      <formula>LEN(TRIM(F24))=0</formula>
    </cfRule>
  </conditionalFormatting>
  <conditionalFormatting sqref="F30">
    <cfRule type="containsBlanks" dxfId="3" priority="17">
      <formula>LEN(TRIM(F30))=0</formula>
    </cfRule>
  </conditionalFormatting>
  <conditionalFormatting sqref="F34">
    <cfRule type="containsBlanks" dxfId="3" priority="18">
      <formula>LEN(TRIM(F34))=0</formula>
    </cfRule>
  </conditionalFormatting>
  <conditionalFormatting sqref="F36:F45">
    <cfRule type="containsBlanks" dxfId="3" priority="19">
      <formula>LEN(TRIM(F36))=0</formula>
    </cfRule>
  </conditionalFormatting>
  <conditionalFormatting sqref="F48">
    <cfRule type="containsBlanks" dxfId="3" priority="20">
      <formula>LEN(TRIM(F48))=0</formula>
    </cfRule>
  </conditionalFormatting>
  <conditionalFormatting sqref="F50:F51">
    <cfRule type="containsBlanks" dxfId="3" priority="21">
      <formula>LEN(TRIM(F50))=0</formula>
    </cfRule>
  </conditionalFormatting>
  <conditionalFormatting sqref="F55">
    <cfRule type="containsBlanks" dxfId="3" priority="22">
      <formula>LEN(TRIM(F55))=0</formula>
    </cfRule>
  </conditionalFormatting>
  <conditionalFormatting sqref="F57:F58">
    <cfRule type="containsBlanks" dxfId="3" priority="23">
      <formula>LEN(TRIM(F57))=0</formula>
    </cfRule>
  </conditionalFormatting>
  <conditionalFormatting sqref="F60">
    <cfRule type="containsBlanks" dxfId="3" priority="24">
      <formula>LEN(TRIM(F60))=0</formula>
    </cfRule>
  </conditionalFormatting>
  <conditionalFormatting sqref="F62">
    <cfRule type="containsBlanks" dxfId="3" priority="25">
      <formula>LEN(TRIM(F62))=0</formula>
    </cfRule>
  </conditionalFormatting>
  <conditionalFormatting sqref="F67">
    <cfRule type="containsBlanks" dxfId="3" priority="26">
      <formula>LEN(TRIM(F67))=0</formula>
    </cfRule>
  </conditionalFormatting>
  <conditionalFormatting sqref="P1:R81">
    <cfRule type="containsBlanks" dxfId="3" priority="27">
      <formula>LEN(TRIM(P1))=0</formula>
    </cfRule>
  </conditionalFormatting>
  <conditionalFormatting sqref="T1:V81">
    <cfRule type="containsBlanks" dxfId="3" priority="28">
      <formula>LEN(TRIM(T1))=0</formula>
    </cfRule>
  </conditionalFormatting>
  <conditionalFormatting sqref="N1:N81">
    <cfRule type="cellIs" dxfId="4" priority="29" operator="equal">
      <formula>"FALSE"</formula>
    </cfRule>
  </conditionalFormatting>
  <conditionalFormatting sqref="N1:N81">
    <cfRule type="cellIs" dxfId="5" priority="30" operator="equal">
      <formula>"TRUE"</formula>
    </cfRule>
  </conditionalFormatting>
  <hyperlinks>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EE47"/>
    <hyperlink r:id="rId48" ref="B48"/>
    <hyperlink r:id="rId49" ref="B49"/>
    <hyperlink r:id="rId50" ref="B50"/>
    <hyperlink r:id="rId51" ref="B51"/>
    <hyperlink r:id="rId52" ref="B52"/>
    <hyperlink r:id="rId53" ref="B53"/>
    <hyperlink r:id="rId54" ref="B54"/>
    <hyperlink r:id="rId55" ref="B55"/>
    <hyperlink r:id="rId56" ref="B56"/>
    <hyperlink r:id="rId57" ref="B57"/>
    <hyperlink r:id="rId58" ref="B58"/>
    <hyperlink r:id="rId59" ref="B59"/>
    <hyperlink r:id="rId60" ref="B60"/>
    <hyperlink r:id="rId61" ref="B61"/>
    <hyperlink r:id="rId62" ref="B62"/>
    <hyperlink r:id="rId63" ref="B63"/>
    <hyperlink r:id="rId64" ref="B64"/>
    <hyperlink r:id="rId65" ref="B65"/>
    <hyperlink r:id="rId66" ref="B66"/>
    <hyperlink r:id="rId67" ref="B67"/>
    <hyperlink r:id="rId68" ref="B68"/>
    <hyperlink r:id="rId69" ref="B69"/>
    <hyperlink r:id="rId70" ref="B70"/>
    <hyperlink r:id="rId71" ref="B71"/>
    <hyperlink r:id="rId72" ref="B72"/>
    <hyperlink r:id="rId73" ref="EE72"/>
    <hyperlink r:id="rId74" ref="B73"/>
    <hyperlink r:id="rId75" ref="B74"/>
    <hyperlink r:id="rId76" ref="B75"/>
    <hyperlink r:id="rId77" ref="B76"/>
    <hyperlink r:id="rId78" ref="B77"/>
    <hyperlink r:id="rId79" ref="B78"/>
    <hyperlink r:id="rId80" ref="B79"/>
    <hyperlink r:id="rId81" ref="B80"/>
    <hyperlink r:id="rId82" ref="B81"/>
  </hyperlinks>
  <drawing r:id="rId83"/>
  <legacyDrawing r:id="rId8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cols>
    <col customWidth="1" min="1" max="1" width="53.13"/>
    <col customWidth="1" min="2" max="20" width="15.13"/>
  </cols>
  <sheetData>
    <row r="1">
      <c r="A1" s="80" t="s">
        <v>1524</v>
      </c>
      <c r="B1" s="80" t="s">
        <v>267</v>
      </c>
      <c r="C1" s="233">
        <f>countif('SM Repository'!AD:AD,B1)</f>
        <v>6</v>
      </c>
      <c r="D1" s="233">
        <f>SUMIF('SM Repository'!AD3:AD81, B1,'SM Repository'!AH3:AH81)</f>
        <v>122</v>
      </c>
    </row>
    <row r="2">
      <c r="A2" s="80" t="s">
        <v>1525</v>
      </c>
      <c r="B2" s="80" t="s">
        <v>450</v>
      </c>
      <c r="C2" s="233">
        <f>countif('SM Repository'!AD:AD,B2)</f>
        <v>5</v>
      </c>
      <c r="D2" s="233">
        <f>SUMIF('SM Repository'!AD4:AD82, B2,'SM Repository'!AG4:AH82)</f>
        <v>0</v>
      </c>
    </row>
    <row r="3">
      <c r="A3" s="80" t="s">
        <v>1526</v>
      </c>
      <c r="B3" s="80" t="s">
        <v>312</v>
      </c>
      <c r="C3" s="233">
        <f>countif('SM Repository'!AD:AD,B3)</f>
        <v>5</v>
      </c>
      <c r="D3" s="233">
        <f>SUMIF('SM Repository'!AD5:AD83, B3,'SM Repository'!AG5:AH83)</f>
        <v>0</v>
      </c>
    </row>
    <row r="4">
      <c r="A4" s="80" t="s">
        <v>1527</v>
      </c>
      <c r="B4" s="80" t="s">
        <v>249</v>
      </c>
      <c r="C4" s="233">
        <f>countif('SM Repository'!AD:AD,B4)</f>
        <v>5</v>
      </c>
      <c r="D4" s="233">
        <f>SUMIF('SM Repository'!AD6:AD84, B4,'SM Repository'!AH6:AH84)</f>
        <v>438</v>
      </c>
    </row>
    <row r="5">
      <c r="A5" s="80" t="s">
        <v>1528</v>
      </c>
      <c r="B5" s="80" t="s">
        <v>591</v>
      </c>
      <c r="C5" s="233">
        <f>countif('SM Repository'!AD:AD,B5)</f>
        <v>4</v>
      </c>
      <c r="D5" s="233">
        <f>SUMIF('SM Repository'!AD7:AD84, B5,'SM Repository'!AH7:AH84)</f>
        <v>32</v>
      </c>
    </row>
    <row r="6">
      <c r="A6" s="80" t="s">
        <v>1529</v>
      </c>
      <c r="B6" s="80" t="s">
        <v>413</v>
      </c>
      <c r="C6" s="233">
        <f>countif('SM Repository'!AD:AD,B6)</f>
        <v>4</v>
      </c>
      <c r="D6" s="233">
        <f>SUMIF('SM Repository'!AD8:AD84, B6,'SM Repository'!AH8:AH84)</f>
        <v>131</v>
      </c>
    </row>
    <row r="7">
      <c r="A7" s="80" t="s">
        <v>1530</v>
      </c>
      <c r="B7" s="80" t="s">
        <v>677</v>
      </c>
      <c r="C7" s="233">
        <f>countif('SM Repository'!AD:AD,B7)</f>
        <v>4</v>
      </c>
      <c r="D7" s="233">
        <f>SUMIF('SM Repository'!AD9:AD84, B7,'SM Repository'!AH9:AH84)</f>
        <v>155</v>
      </c>
    </row>
    <row r="8">
      <c r="A8" s="80" t="s">
        <v>1531</v>
      </c>
      <c r="B8" s="80" t="s">
        <v>215</v>
      </c>
      <c r="C8" s="233">
        <f>countif('SM Repository'!AD:AD,B8)</f>
        <v>4</v>
      </c>
      <c r="D8" s="233">
        <f>SUMIF('SM Repository'!AD10:AD85, B8,'SM Repository'!AH10:AH85)</f>
        <v>15</v>
      </c>
    </row>
    <row r="9">
      <c r="A9" s="80" t="s">
        <v>1532</v>
      </c>
      <c r="B9" s="80" t="s">
        <v>361</v>
      </c>
      <c r="C9" s="233">
        <f>countif('SM Repository'!AD:AD,B9)</f>
        <v>3</v>
      </c>
      <c r="D9" s="233">
        <f>SUMIF('SM Repository'!AD11:AD86, B9,'SM Repository'!AH11:AH86)</f>
        <v>498</v>
      </c>
    </row>
    <row r="10">
      <c r="A10" s="80" t="s">
        <v>1533</v>
      </c>
      <c r="B10" s="80" t="s">
        <v>400</v>
      </c>
      <c r="C10" s="233">
        <f>countif('SM Repository'!AD:AD,B10)</f>
        <v>3</v>
      </c>
      <c r="D10" s="233">
        <f>SUMIF('SM Repository'!AD12:AD87, B10,'SM Repository'!AH12:AH87)</f>
        <v>64</v>
      </c>
    </row>
    <row r="11">
      <c r="A11" s="80" t="s">
        <v>1534</v>
      </c>
      <c r="B11" s="80" t="s">
        <v>334</v>
      </c>
      <c r="C11" s="233">
        <f>countif('SM Repository'!AD:AD,B11)</f>
        <v>3</v>
      </c>
      <c r="D11" s="233">
        <f>SUMIF('SM Repository'!AD13:AD88, B11,'SM Repository'!AH13:AH88)</f>
        <v>158</v>
      </c>
    </row>
    <row r="12">
      <c r="A12" s="80" t="s">
        <v>1535</v>
      </c>
      <c r="B12" s="80" t="s">
        <v>475</v>
      </c>
      <c r="C12" s="233">
        <f>countif('SM Repository'!AD:AD,B12)</f>
        <v>3</v>
      </c>
      <c r="D12" s="233">
        <f>SUMIF('SM Repository'!AD14:AD89, B12,'SM Repository'!AH14:AH89)</f>
        <v>20</v>
      </c>
    </row>
    <row r="13">
      <c r="A13" s="80" t="s">
        <v>1536</v>
      </c>
      <c r="B13" s="80" t="s">
        <v>1037</v>
      </c>
      <c r="C13" s="233">
        <f>countif('SM Repository'!AD:AD,B13)</f>
        <v>3</v>
      </c>
      <c r="D13" s="233">
        <f>SUMIF('SM Repository'!AD15:AD90, B13,'SM Repository'!AH15:AH90)</f>
        <v>135</v>
      </c>
    </row>
    <row r="14">
      <c r="A14" s="80" t="s">
        <v>1537</v>
      </c>
      <c r="B14" s="80" t="s">
        <v>903</v>
      </c>
      <c r="C14" s="233">
        <f>countif('SM Repository'!AD:AD,B14)</f>
        <v>2</v>
      </c>
      <c r="D14" s="233">
        <f>SUMIF('SM Repository'!AD16:AD91, B14,'SM Repository'!AH16:AH91)</f>
        <v>10</v>
      </c>
    </row>
    <row r="15">
      <c r="A15" s="80" t="s">
        <v>1538</v>
      </c>
      <c r="B15" s="80" t="s">
        <v>1539</v>
      </c>
      <c r="C15" s="233">
        <f>countif('SM Repository'!AD:AD,B15)</f>
        <v>2</v>
      </c>
      <c r="D15" s="233">
        <f>SUMIF('SM Repository'!AD17:AD92, B15,'SM Repository'!AH17:AH92)</f>
        <v>209</v>
      </c>
    </row>
    <row r="16">
      <c r="A16" s="80" t="s">
        <v>1540</v>
      </c>
      <c r="B16" s="80" t="s">
        <v>720</v>
      </c>
      <c r="C16" s="233">
        <f>countif('SM Repository'!AD:AD,B16)</f>
        <v>2</v>
      </c>
      <c r="D16" s="233">
        <f>SUMIF('SM Repository'!AD18:AD93, B16,'SM Repository'!AH18:AH93)</f>
        <v>15</v>
      </c>
    </row>
    <row r="17">
      <c r="A17" s="80" t="s">
        <v>1541</v>
      </c>
      <c r="B17" s="80" t="s">
        <v>1208</v>
      </c>
      <c r="C17" s="233">
        <f>countif('SM Repository'!AD:AD,B17)</f>
        <v>1</v>
      </c>
      <c r="D17" s="233">
        <f>SUMIF('SM Repository'!AD19:AD94, B17,'SM Repository'!AH19:AH94)</f>
        <v>6</v>
      </c>
    </row>
    <row r="18">
      <c r="A18" s="80" t="s">
        <v>1542</v>
      </c>
      <c r="B18" s="80" t="s">
        <v>465</v>
      </c>
      <c r="C18" s="233">
        <f>countif('SM Repository'!AD:AD,B18)</f>
        <v>1</v>
      </c>
      <c r="D18" s="233">
        <f>SUMIF('SM Repository'!AD20:AD95, B18,'SM Repository'!AH20:AH95)</f>
        <v>0</v>
      </c>
    </row>
    <row r="19">
      <c r="A19" s="80" t="s">
        <v>1543</v>
      </c>
      <c r="B19" s="80" t="s">
        <v>1159</v>
      </c>
      <c r="C19" s="233">
        <f>countif('SM Repository'!AD:AD,B19)</f>
        <v>1</v>
      </c>
      <c r="D19" s="233">
        <f>SUMIF('SM Repository'!AD21:AD96, B19,'SM Repository'!AH21:AH96)</f>
        <v>4</v>
      </c>
    </row>
    <row r="20">
      <c r="A20" s="80" t="s">
        <v>1544</v>
      </c>
      <c r="B20" s="80" t="s">
        <v>599</v>
      </c>
      <c r="C20" s="233">
        <f>countif('SM Repository'!AD:AD,B20)</f>
        <v>1</v>
      </c>
      <c r="D20" s="233">
        <f>SUMIF('SM Repository'!AD22:AD97, B20,'SM Repository'!AH22:AH97)</f>
        <v>0</v>
      </c>
    </row>
    <row r="21">
      <c r="A21" s="80" t="s">
        <v>1545</v>
      </c>
      <c r="B21" s="80" t="s">
        <v>698</v>
      </c>
      <c r="C21" s="233">
        <f>countif('SM Repository'!AD:AD,B21)</f>
        <v>1</v>
      </c>
      <c r="D21" s="233">
        <f>SUMIF('SM Repository'!AD23:AD98, B21,'SM Repository'!AH23:AH98)</f>
        <v>0</v>
      </c>
    </row>
    <row r="22">
      <c r="A22" s="80" t="s">
        <v>1546</v>
      </c>
      <c r="B22" s="80" t="s">
        <v>526</v>
      </c>
      <c r="C22" s="233">
        <f>countif('SM Repository'!AD:AD,B22)</f>
        <v>1</v>
      </c>
      <c r="D22" s="233">
        <f>SUMIF('SM Repository'!AD24:AD99, B22,'SM Repository'!AH24:AH99)</f>
        <v>28</v>
      </c>
    </row>
    <row r="23">
      <c r="A23" s="80" t="s">
        <v>1547</v>
      </c>
      <c r="B23" s="80" t="s">
        <v>1053</v>
      </c>
      <c r="C23" s="233">
        <f>countif('SM Repository'!AD:AD,B23)</f>
        <v>1</v>
      </c>
      <c r="D23" s="233">
        <f>SUMIF('SM Repository'!AD25:AD100, B23,'SM Repository'!AH25:AH100)</f>
        <v>27</v>
      </c>
    </row>
    <row r="24">
      <c r="A24" s="80" t="s">
        <v>1548</v>
      </c>
      <c r="B24" s="80" t="s">
        <v>374</v>
      </c>
      <c r="C24" s="233">
        <f>countif('SM Repository'!AD:AD,B24)</f>
        <v>1</v>
      </c>
      <c r="D24" s="233">
        <f>SUMIF('SM Repository'!AD26:AD101, B24,'SM Repository'!AH26:AH101)</f>
        <v>0</v>
      </c>
    </row>
    <row r="25">
      <c r="A25" s="80" t="s">
        <v>1549</v>
      </c>
      <c r="B25" s="80" t="s">
        <v>849</v>
      </c>
      <c r="C25" s="233">
        <f>countif('SM Repository'!AD:AD,B25)</f>
        <v>1</v>
      </c>
      <c r="D25" s="233">
        <f>SUMIF('SM Repository'!AD27:AD102, B25,'SM Repository'!AH27:AH102)</f>
        <v>1</v>
      </c>
    </row>
    <row r="26">
      <c r="A26" s="80" t="s">
        <v>1550</v>
      </c>
      <c r="B26" s="80" t="s">
        <v>1117</v>
      </c>
      <c r="C26" s="233">
        <f>countif('SM Repository'!AD:AD,B26)</f>
        <v>1</v>
      </c>
      <c r="D26" s="233">
        <f>SUMIF('SM Repository'!AD28:AD103, B26,'SM Repository'!AH28:AH103)</f>
        <v>28</v>
      </c>
    </row>
    <row r="27">
      <c r="A27" s="80" t="s">
        <v>1551</v>
      </c>
      <c r="B27" s="80" t="s">
        <v>534</v>
      </c>
      <c r="C27" s="233">
        <f>countif('SM Repository'!AD:AD,B27)</f>
        <v>1</v>
      </c>
      <c r="D27" s="233">
        <f>SUMIF('SM Repository'!AD29:AD104, B27,'SM Repository'!AH29:AH104)</f>
        <v>0</v>
      </c>
    </row>
    <row r="28">
      <c r="A28" s="80" t="s">
        <v>1552</v>
      </c>
      <c r="B28" s="80" t="s">
        <v>1126</v>
      </c>
      <c r="C28" s="233">
        <f>countif('SM Repository'!AD:AD,B28)</f>
        <v>1</v>
      </c>
      <c r="D28" s="233">
        <f>SUMIF('SM Repository'!AD30:AD105, B28,'SM Repository'!AH30:AH105)</f>
        <v>24</v>
      </c>
    </row>
    <row r="29">
      <c r="A29" s="80" t="s">
        <v>1553</v>
      </c>
      <c r="B29" s="80" t="s">
        <v>1013</v>
      </c>
      <c r="C29" s="233">
        <f>countif('SM Repository'!AD:AD,B29)</f>
        <v>1</v>
      </c>
      <c r="D29" s="233">
        <f>SUMIF('SM Repository'!AD31:AD106, B29,'SM Repository'!AH31:AH106)</f>
        <v>0</v>
      </c>
    </row>
    <row r="30">
      <c r="A30" s="80" t="s">
        <v>1554</v>
      </c>
      <c r="B30" s="80" t="s">
        <v>283</v>
      </c>
      <c r="C30" s="233">
        <f>countif('SM Repository'!AD:AD,B30)</f>
        <v>1</v>
      </c>
      <c r="D30" s="233">
        <f>SUMIF('SM Repository'!AD32:AD107, B30,'SM Repository'!AH32:AH107)</f>
        <v>0</v>
      </c>
    </row>
    <row r="31">
      <c r="A31" s="80" t="s">
        <v>1555</v>
      </c>
      <c r="B31" s="80" t="s">
        <v>1029</v>
      </c>
      <c r="C31" s="233">
        <f>countif('SM Repository'!AD:AD,B31)</f>
        <v>1</v>
      </c>
      <c r="D31" s="233">
        <f>SUMIF('SM Repository'!AD33:AD108, B31,'SM Repository'!AH33:AH108)</f>
        <v>0</v>
      </c>
    </row>
    <row r="32">
      <c r="A32" s="80" t="s">
        <v>1556</v>
      </c>
      <c r="B32" s="80" t="s">
        <v>1242</v>
      </c>
      <c r="C32" s="233">
        <f>countif('SM Repository'!AD:AD,B32)</f>
        <v>1</v>
      </c>
      <c r="D32" s="233">
        <f>SUMIF('SM Repository'!AD34:AD109, B32,'SM Repository'!AH34:AH109)</f>
        <v>2</v>
      </c>
    </row>
    <row r="33">
      <c r="A33" s="80" t="s">
        <v>1557</v>
      </c>
      <c r="B33" s="80" t="s">
        <v>827</v>
      </c>
      <c r="C33" s="233">
        <f>countif('SM Repository'!AD:AD,B33)</f>
        <v>1</v>
      </c>
      <c r="D33" s="233">
        <f>SUMIF('SM Repository'!AD35:AD110, B33,'SM Repository'!AH35:AH110)</f>
        <v>19</v>
      </c>
    </row>
    <row r="34">
      <c r="A34" s="80" t="s">
        <v>1558</v>
      </c>
      <c r="B34" s="80" t="s">
        <v>979</v>
      </c>
      <c r="C34" s="233">
        <f>countif('SM Repository'!AD:AD,B34)</f>
        <v>1</v>
      </c>
      <c r="D34" s="233">
        <f>SUMIF('SM Repository'!AD36:AD111, B34,'SM Repository'!AH36:AH111)</f>
        <v>3</v>
      </c>
    </row>
    <row r="35">
      <c r="A35" s="80" t="s">
        <v>1559</v>
      </c>
      <c r="B35" s="80" t="s">
        <v>857</v>
      </c>
      <c r="C35" s="233">
        <f>countif('SM Repository'!AD:AD,B35)</f>
        <v>1</v>
      </c>
      <c r="D35" s="233">
        <f>SUMIF('SM Repository'!AD37:AD112, B35,'SM Repository'!AH37:AH112)</f>
        <v>8</v>
      </c>
    </row>
    <row r="36">
      <c r="A36" s="80" t="s">
        <v>1560</v>
      </c>
      <c r="B36" s="80" t="s">
        <v>1387</v>
      </c>
      <c r="C36" s="233">
        <f>countif('SM Repository'!AD:AD,B36)</f>
        <v>1</v>
      </c>
      <c r="D36" s="233">
        <f>SUMIF('SM Repository'!AD38:AD113, B36,'SM Repository'!AH38:AH113)</f>
        <v>0</v>
      </c>
    </row>
    <row r="37">
      <c r="A37" s="80" t="s">
        <v>1561</v>
      </c>
      <c r="B37" s="80" t="s">
        <v>1562</v>
      </c>
      <c r="C37" s="233">
        <f>countif('SM Repository'!AD:AD,B37)</f>
        <v>0</v>
      </c>
      <c r="D37" s="233">
        <f>SUMIF('SM Repository'!AD39:AD114, B37,'SM Repository'!AH39:AH114)</f>
        <v>0</v>
      </c>
    </row>
    <row r="38">
      <c r="A38" s="80" t="s">
        <v>1563</v>
      </c>
      <c r="B38" s="80" t="s">
        <v>1564</v>
      </c>
      <c r="C38" s="233">
        <f>countif('SM Repository'!AD:AD,B38)</f>
        <v>0</v>
      </c>
      <c r="D38" s="233">
        <f>SUMIF('SM Repository'!AD40:AD115, B38,'SM Repository'!AH40:AH115)</f>
        <v>0</v>
      </c>
    </row>
    <row r="39">
      <c r="A39" s="80" t="s">
        <v>1565</v>
      </c>
      <c r="B39" s="80" t="s">
        <v>1566</v>
      </c>
      <c r="C39" s="233">
        <f>countif('SM Repository'!AD:AD,B39)</f>
        <v>0</v>
      </c>
      <c r="D39" s="233">
        <f>SUMIF('SM Repository'!AD41:AD116, B39,'SM Repository'!AH41:AH116)</f>
        <v>0</v>
      </c>
    </row>
    <row r="40">
      <c r="A40" s="80" t="s">
        <v>1567</v>
      </c>
      <c r="B40" s="80" t="s">
        <v>1568</v>
      </c>
      <c r="C40" s="233">
        <f>countif('SM Repository'!AD:AD,B40)</f>
        <v>0</v>
      </c>
      <c r="D40" s="233">
        <f>SUMIF('SM Repository'!AD42:AD117, B40,'SM Repository'!AH42:AH117)</f>
        <v>0</v>
      </c>
    </row>
    <row r="41">
      <c r="A41" s="80" t="s">
        <v>1569</v>
      </c>
      <c r="B41" s="80" t="s">
        <v>1570</v>
      </c>
      <c r="C41" s="233">
        <f>countif('SM Repository'!AD:AD,B41)</f>
        <v>0</v>
      </c>
      <c r="D41" s="233">
        <f>SUMIF('SM Repository'!AD43:AD118, B41,'SM Repository'!AH43:AH118)</f>
        <v>0</v>
      </c>
    </row>
    <row r="42">
      <c r="A42" s="80" t="s">
        <v>1571</v>
      </c>
      <c r="B42" s="80" t="s">
        <v>1572</v>
      </c>
      <c r="C42" s="233">
        <f>countif('SM Repository'!AD:AD,B42)</f>
        <v>0</v>
      </c>
      <c r="D42" s="233">
        <f>SUMIF('SM Repository'!AD44:AD119, B42,'SM Repository'!AH44:AH119)</f>
        <v>0</v>
      </c>
    </row>
    <row r="43">
      <c r="A43" s="80" t="s">
        <v>1573</v>
      </c>
      <c r="B43" s="80" t="s">
        <v>1574</v>
      </c>
      <c r="C43" s="233">
        <f>countif('SM Repository'!AD:AD,B43)</f>
        <v>0</v>
      </c>
      <c r="D43" s="233">
        <f>SUMIF('SM Repository'!AD45:AD120, B43,'SM Repository'!AH45:AH120)</f>
        <v>0</v>
      </c>
    </row>
    <row r="44">
      <c r="A44" s="80" t="s">
        <v>1575</v>
      </c>
      <c r="B44" s="80" t="s">
        <v>1576</v>
      </c>
      <c r="C44" s="233">
        <f>countif('SM Repository'!AD:AD,B44)</f>
        <v>0</v>
      </c>
      <c r="D44" s="233">
        <f>SUMIF('SM Repository'!AD46:AD121, B44,'SM Repository'!AH46:AH121)</f>
        <v>0</v>
      </c>
    </row>
    <row r="45">
      <c r="A45" s="80" t="s">
        <v>1577</v>
      </c>
      <c r="B45" s="80" t="s">
        <v>1578</v>
      </c>
      <c r="C45" s="233">
        <f>countif('SM Repository'!AD:AD,B45)</f>
        <v>0</v>
      </c>
      <c r="D45" s="233">
        <f>SUMIF('SM Repository'!AD47:AD122, B45,'SM Repository'!AH47:AH122)</f>
        <v>0</v>
      </c>
    </row>
    <row r="46">
      <c r="A46" s="80" t="s">
        <v>1579</v>
      </c>
      <c r="B46" s="80" t="s">
        <v>1580</v>
      </c>
      <c r="C46" s="233">
        <f>countif('SM Repository'!AD:AD,B46)</f>
        <v>0</v>
      </c>
      <c r="D46" s="233">
        <f>SUMIF('SM Repository'!AD48:AD123, B46,'SM Repository'!AH48:AH123)</f>
        <v>0</v>
      </c>
    </row>
    <row r="47">
      <c r="A47" s="80" t="s">
        <v>1581</v>
      </c>
      <c r="B47" s="80" t="s">
        <v>1582</v>
      </c>
      <c r="C47" s="233">
        <f>countif('SM Repository'!AD:AD,B47)</f>
        <v>0</v>
      </c>
      <c r="D47" s="233">
        <f>SUMIF('SM Repository'!AD49:AD124, B47,'SM Repository'!AH49:AH124)</f>
        <v>0</v>
      </c>
    </row>
    <row r="48">
      <c r="A48" s="80" t="s">
        <v>1583</v>
      </c>
      <c r="B48" s="80" t="s">
        <v>1584</v>
      </c>
      <c r="C48" s="233">
        <f>countif('SM Repository'!AD:AD,B48)</f>
        <v>0</v>
      </c>
      <c r="D48" s="233">
        <f>SUMIF('SM Repository'!AD50:AD125, B48,'SM Repository'!AH50:AH125)</f>
        <v>0</v>
      </c>
    </row>
    <row r="49">
      <c r="A49" s="80" t="s">
        <v>1585</v>
      </c>
      <c r="B49" s="80" t="s">
        <v>1586</v>
      </c>
      <c r="C49" s="233">
        <f>countif('SM Repository'!AD:AD,B49)</f>
        <v>0</v>
      </c>
      <c r="D49" s="233">
        <f>SUMIF('SM Repository'!AD51:AD126, B49,'SM Repository'!AH51:AH126)</f>
        <v>0</v>
      </c>
    </row>
    <row r="50">
      <c r="A50" s="80" t="s">
        <v>1587</v>
      </c>
      <c r="B50" s="80" t="s">
        <v>1588</v>
      </c>
      <c r="C50" s="233">
        <f>countif('SM Repository'!AD:AD,B50)</f>
        <v>0</v>
      </c>
      <c r="D50" s="233">
        <f>SUMIF('SM Repository'!AD52:AD127, B50,'SM Repository'!AH52:AH127)</f>
        <v>0</v>
      </c>
    </row>
    <row r="51">
      <c r="A51" s="80" t="s">
        <v>1589</v>
      </c>
      <c r="B51" s="80" t="s">
        <v>1590</v>
      </c>
      <c r="C51" s="233">
        <f>countif('SM Repository'!AD:AD,B51)</f>
        <v>0</v>
      </c>
      <c r="D51" s="233">
        <f>SUMIF('SM Repository'!AD53:AD128, B51,'SM Repository'!AH53:AH128)</f>
        <v>0</v>
      </c>
    </row>
    <row r="52">
      <c r="A52" s="80" t="s">
        <v>1591</v>
      </c>
      <c r="B52" s="80" t="s">
        <v>1592</v>
      </c>
      <c r="C52" s="233">
        <f>countif('SM Repository'!AD:AD,B52)</f>
        <v>0</v>
      </c>
      <c r="D52" s="233">
        <f>SUMIF('SM Repository'!AD54:AD129, B52,'SM Repository'!AH54:AH129)</f>
        <v>0</v>
      </c>
    </row>
    <row r="53">
      <c r="A53" s="80" t="s">
        <v>1593</v>
      </c>
      <c r="B53" s="80" t="s">
        <v>1594</v>
      </c>
      <c r="C53" s="233">
        <f>countif('SM Repository'!AD:AD,B53)</f>
        <v>0</v>
      </c>
      <c r="D53" s="233">
        <f>SUMIF('SM Repository'!AD55:AD130, B53,'SM Repository'!AH55:AH130)</f>
        <v>0</v>
      </c>
    </row>
    <row r="54">
      <c r="A54" s="80" t="s">
        <v>1595</v>
      </c>
      <c r="B54" s="80" t="s">
        <v>1596</v>
      </c>
      <c r="C54" s="233">
        <f>countif('SM Repository'!AD:AD,B54)</f>
        <v>0</v>
      </c>
      <c r="D54" s="233">
        <f>SUMIF('SM Repository'!AD56:AD131, B54,'SM Repository'!AH56:AH131)</f>
        <v>0</v>
      </c>
    </row>
    <row r="55">
      <c r="A55" s="80" t="s">
        <v>1597</v>
      </c>
      <c r="B55" s="80" t="s">
        <v>1598</v>
      </c>
      <c r="C55" s="233">
        <f>countif('SM Repository'!AD:AD,B55)</f>
        <v>0</v>
      </c>
      <c r="D55" s="233">
        <f>SUMIF('SM Repository'!AD57:AD132, B55,'SM Repository'!AH57:AH132)</f>
        <v>0</v>
      </c>
    </row>
    <row r="56">
      <c r="A56" s="80" t="s">
        <v>1599</v>
      </c>
      <c r="B56" s="80" t="s">
        <v>1600</v>
      </c>
      <c r="C56" s="233">
        <f>countif('SM Repository'!AD:AD,B56)</f>
        <v>0</v>
      </c>
      <c r="D56" s="233">
        <f>SUMIF('SM Repository'!AD58:AD133, B56,'SM Repository'!AH58:AH133)</f>
        <v>0</v>
      </c>
    </row>
    <row r="57">
      <c r="A57" s="80" t="s">
        <v>1601</v>
      </c>
      <c r="B57" s="80" t="s">
        <v>1602</v>
      </c>
      <c r="C57" s="233">
        <f>countif('SM Repository'!AD:AD,B57)</f>
        <v>0</v>
      </c>
      <c r="D57" s="233">
        <f>SUMIF('SM Repository'!AD59:AD134, B57,'SM Repository'!AH59:AH134)</f>
        <v>0</v>
      </c>
    </row>
    <row r="58">
      <c r="A58" s="80" t="s">
        <v>1603</v>
      </c>
      <c r="B58" s="80" t="s">
        <v>1604</v>
      </c>
      <c r="C58" s="233">
        <f>countif('SM Repository'!AD:AD,B58)</f>
        <v>0</v>
      </c>
      <c r="D58" s="233">
        <f>SUMIF('SM Repository'!AD60:AD135, B58,'SM Repository'!AH60:AH135)</f>
        <v>0</v>
      </c>
    </row>
    <row r="59">
      <c r="A59" s="80" t="s">
        <v>1605</v>
      </c>
      <c r="B59" s="80" t="s">
        <v>1606</v>
      </c>
      <c r="C59" s="233">
        <f>countif('SM Repository'!AD:AD,B59)</f>
        <v>0</v>
      </c>
      <c r="D59" s="233">
        <f>SUMIF('SM Repository'!AD61:AD136, B59,'SM Repository'!AH61:AH136)</f>
        <v>0</v>
      </c>
    </row>
    <row r="60">
      <c r="A60" s="80" t="s">
        <v>1607</v>
      </c>
      <c r="B60" s="80" t="s">
        <v>1608</v>
      </c>
      <c r="C60" s="233">
        <f>countif('SM Repository'!AD:AD,B60)</f>
        <v>0</v>
      </c>
      <c r="D60" s="233">
        <f>SUMIF('SM Repository'!AD62:AD137, B60,'SM Repository'!AH62:AH137)</f>
        <v>0</v>
      </c>
    </row>
    <row r="61">
      <c r="A61" s="80" t="s">
        <v>1609</v>
      </c>
      <c r="B61" s="80" t="s">
        <v>1610</v>
      </c>
      <c r="C61" s="178"/>
    </row>
    <row r="62">
      <c r="C62" s="178"/>
    </row>
    <row r="63">
      <c r="C63" s="178"/>
    </row>
    <row r="64">
      <c r="C64" s="178"/>
    </row>
    <row r="65">
      <c r="C65" s="178"/>
    </row>
    <row r="66">
      <c r="C66" s="178"/>
    </row>
    <row r="67">
      <c r="C67" s="178"/>
    </row>
    <row r="68">
      <c r="C68" s="178"/>
    </row>
    <row r="69">
      <c r="C69" s="178"/>
    </row>
    <row r="70">
      <c r="C70" s="178"/>
    </row>
    <row r="71">
      <c r="C71" s="178"/>
    </row>
    <row r="72">
      <c r="C72" s="178"/>
    </row>
    <row r="73">
      <c r="C73" s="178"/>
    </row>
    <row r="74">
      <c r="C74" s="178"/>
    </row>
    <row r="75">
      <c r="C75" s="178"/>
    </row>
    <row r="76">
      <c r="C76" s="178"/>
    </row>
    <row r="77">
      <c r="C77" s="178"/>
    </row>
    <row r="78">
      <c r="C78" s="178"/>
    </row>
    <row r="79">
      <c r="C79" s="178"/>
    </row>
    <row r="80">
      <c r="C80" s="178"/>
    </row>
    <row r="81">
      <c r="C81" s="178"/>
    </row>
    <row r="82">
      <c r="C82" s="178"/>
    </row>
    <row r="83">
      <c r="C83" s="178"/>
    </row>
    <row r="84">
      <c r="C84" s="178"/>
    </row>
    <row r="85">
      <c r="C85" s="178"/>
    </row>
    <row r="86">
      <c r="C86" s="178"/>
    </row>
    <row r="87">
      <c r="C87" s="178"/>
    </row>
    <row r="88">
      <c r="C88" s="178"/>
    </row>
    <row r="89">
      <c r="C89" s="178"/>
    </row>
    <row r="90">
      <c r="C90" s="178"/>
    </row>
    <row r="91">
      <c r="C91" s="178"/>
    </row>
    <row r="92">
      <c r="C92" s="178"/>
    </row>
    <row r="93">
      <c r="C93" s="178"/>
    </row>
    <row r="94">
      <c r="C94" s="178"/>
    </row>
    <row r="95">
      <c r="C95" s="178"/>
    </row>
    <row r="96">
      <c r="C96" s="178"/>
    </row>
    <row r="97">
      <c r="C97" s="178"/>
    </row>
    <row r="98">
      <c r="C98" s="178"/>
    </row>
    <row r="99">
      <c r="C99" s="178"/>
    </row>
    <row r="100">
      <c r="C100" s="178"/>
    </row>
    <row r="101">
      <c r="C101" s="178"/>
    </row>
    <row r="102">
      <c r="C102" s="178"/>
    </row>
    <row r="103">
      <c r="C103" s="178"/>
    </row>
    <row r="104">
      <c r="C104" s="178"/>
    </row>
    <row r="105">
      <c r="C105" s="178"/>
    </row>
    <row r="106">
      <c r="C106" s="178"/>
    </row>
    <row r="107">
      <c r="C107" s="178"/>
    </row>
    <row r="108">
      <c r="C108" s="178"/>
    </row>
    <row r="109">
      <c r="C109" s="178"/>
    </row>
    <row r="110">
      <c r="C110" s="178"/>
    </row>
    <row r="111">
      <c r="C111" s="178"/>
    </row>
    <row r="112">
      <c r="C112" s="178"/>
    </row>
    <row r="113">
      <c r="C113" s="178"/>
    </row>
    <row r="114">
      <c r="C114" s="178"/>
    </row>
    <row r="115">
      <c r="C115" s="178"/>
    </row>
    <row r="116">
      <c r="C116" s="178"/>
    </row>
    <row r="117">
      <c r="C117" s="178"/>
    </row>
    <row r="118">
      <c r="C118" s="178"/>
    </row>
    <row r="119">
      <c r="C119" s="17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cols>
    <col customWidth="1" min="1" max="10" width="14.0"/>
    <col customWidth="1" min="11" max="11" width="6.63"/>
    <col customWidth="1" min="12" max="20" width="15.13"/>
  </cols>
  <sheetData>
    <row r="2">
      <c r="A2" s="234" t="s">
        <v>1611</v>
      </c>
    </row>
    <row r="3">
      <c r="A3" s="193" t="s">
        <v>1262</v>
      </c>
      <c r="B3" s="182" t="s">
        <v>1612</v>
      </c>
      <c r="C3" s="182" t="s">
        <v>1613</v>
      </c>
      <c r="D3" s="182" t="s">
        <v>1614</v>
      </c>
      <c r="E3" s="182" t="s">
        <v>1615</v>
      </c>
      <c r="F3" s="182" t="s">
        <v>1616</v>
      </c>
    </row>
    <row r="4">
      <c r="A4" s="194">
        <f>SUM(B4:F4)</f>
        <v>79</v>
      </c>
      <c r="B4" s="183">
        <f>countif('SM Repository'!$AG:$AG, B5)</f>
        <v>23</v>
      </c>
      <c r="C4" s="183">
        <f>countif('SM Repository'!$AG:$AG, C5)</f>
        <v>35</v>
      </c>
      <c r="D4" s="183">
        <f>countif('SM Repository'!$AG:$AG, D5)</f>
        <v>8</v>
      </c>
      <c r="E4" s="183">
        <f>countif('SM Repository'!$AG:$AG, E5)</f>
        <v>13</v>
      </c>
      <c r="F4" s="183">
        <f>countif('SM Repository'!$AG:$AG, F5)</f>
        <v>0</v>
      </c>
    </row>
    <row r="5">
      <c r="A5" s="178"/>
      <c r="B5" s="182" t="s">
        <v>231</v>
      </c>
      <c r="C5" s="182" t="s">
        <v>250</v>
      </c>
      <c r="D5" s="182" t="s">
        <v>216</v>
      </c>
      <c r="E5" s="182" t="s">
        <v>268</v>
      </c>
      <c r="F5" s="182" t="s">
        <v>1617</v>
      </c>
    </row>
    <row r="29">
      <c r="A29" s="234" t="s">
        <v>1618</v>
      </c>
    </row>
    <row r="30">
      <c r="B30" s="182" t="s">
        <v>1612</v>
      </c>
      <c r="C30" s="182" t="s">
        <v>1613</v>
      </c>
      <c r="D30" s="182" t="s">
        <v>1614</v>
      </c>
      <c r="E30" s="182" t="s">
        <v>1615</v>
      </c>
    </row>
    <row r="31">
      <c r="A31" s="80" t="s">
        <v>1619</v>
      </c>
      <c r="B31" s="61">
        <f>'SM Repository'!AJ83</f>
        <v>913</v>
      </c>
      <c r="C31" s="61">
        <f>'SM Repository'!AK83</f>
        <v>1209</v>
      </c>
      <c r="D31" s="61">
        <f>'SM Repository'!AL83</f>
        <v>88</v>
      </c>
      <c r="E31" s="61">
        <f>'SM Repository'!AN83</f>
        <v>310</v>
      </c>
    </row>
    <row r="32">
      <c r="B32" s="182" t="s">
        <v>1612</v>
      </c>
      <c r="C32" s="182" t="s">
        <v>1613</v>
      </c>
      <c r="D32" s="182" t="s">
        <v>1614</v>
      </c>
      <c r="E32" s="182" t="s">
        <v>1615</v>
      </c>
      <c r="G32" s="124" t="s">
        <v>1620</v>
      </c>
    </row>
    <row r="33">
      <c r="A33" s="80" t="s">
        <v>1621</v>
      </c>
      <c r="B33" s="61">
        <f t="shared" ref="B33:E33" si="1">B31/B4</f>
        <v>39.69565217</v>
      </c>
      <c r="C33" s="61">
        <f t="shared" si="1"/>
        <v>34.54285714</v>
      </c>
      <c r="D33" s="61">
        <f t="shared" si="1"/>
        <v>11</v>
      </c>
      <c r="E33" s="61">
        <f t="shared" si="1"/>
        <v>23.84615385</v>
      </c>
      <c r="G33" s="190">
        <f>CORREL(B31:E31,B4:E4)</f>
        <v>0.9821984661</v>
      </c>
    </row>
    <row r="53">
      <c r="A53" s="167" t="s">
        <v>1257</v>
      </c>
      <c r="C53" s="168"/>
      <c r="D53" s="168"/>
      <c r="E53" s="168"/>
      <c r="F53" s="168"/>
    </row>
    <row r="54">
      <c r="B54" s="80" t="s">
        <v>1258</v>
      </c>
      <c r="C54" s="169" t="s">
        <v>1259</v>
      </c>
      <c r="D54" s="169" t="s">
        <v>1260</v>
      </c>
      <c r="E54" s="169" t="s">
        <v>1261</v>
      </c>
      <c r="F54" s="170"/>
    </row>
    <row r="55">
      <c r="A55" s="171">
        <v>1991.0</v>
      </c>
      <c r="B55" s="172">
        <f>countif('SM Repository'!AF:AF,A55)</f>
        <v>0</v>
      </c>
      <c r="C55" s="173">
        <v>2.0</v>
      </c>
      <c r="D55" s="174">
        <v>0.0</v>
      </c>
      <c r="E55" s="174">
        <v>12.0</v>
      </c>
      <c r="F55" s="175"/>
    </row>
    <row r="56">
      <c r="A56" s="172">
        <f t="shared" ref="A56:A75" si="2">A55+1</f>
        <v>1992</v>
      </c>
      <c r="B56" s="172">
        <f>countif('SM Repository'!AF:AF,A56)</f>
        <v>0</v>
      </c>
      <c r="C56" s="173">
        <v>1.0</v>
      </c>
      <c r="D56" s="174">
        <v>1.0</v>
      </c>
      <c r="E56" s="174">
        <v>7.0</v>
      </c>
      <c r="F56" s="175"/>
    </row>
    <row r="57">
      <c r="A57" s="172">
        <f t="shared" si="2"/>
        <v>1993</v>
      </c>
      <c r="B57" s="172">
        <f>countif('SM Repository'!AF:AF,A57)</f>
        <v>0</v>
      </c>
      <c r="C57" s="173">
        <v>0.0</v>
      </c>
      <c r="D57" s="174">
        <v>2.0</v>
      </c>
      <c r="E57" s="174">
        <v>15.0</v>
      </c>
      <c r="F57" s="175"/>
    </row>
    <row r="58">
      <c r="A58" s="172">
        <f t="shared" si="2"/>
        <v>1994</v>
      </c>
      <c r="B58" s="172">
        <f>countif('SM Repository'!AF:AF,A58)</f>
        <v>0</v>
      </c>
      <c r="C58" s="173">
        <v>0.0</v>
      </c>
      <c r="D58" s="174">
        <v>2.0</v>
      </c>
      <c r="E58" s="174">
        <v>19.0</v>
      </c>
      <c r="F58" s="175"/>
    </row>
    <row r="59">
      <c r="A59" s="172">
        <f t="shared" si="2"/>
        <v>1995</v>
      </c>
      <c r="B59" s="172">
        <f>countif('SM Repository'!AF:AF,A59)</f>
        <v>0</v>
      </c>
      <c r="C59" s="173">
        <v>0.0</v>
      </c>
      <c r="D59" s="174">
        <v>6.0</v>
      </c>
      <c r="E59" s="174">
        <v>9.0</v>
      </c>
      <c r="F59" s="175"/>
    </row>
    <row r="60">
      <c r="A60" s="172">
        <f t="shared" si="2"/>
        <v>1996</v>
      </c>
      <c r="B60" s="172">
        <f>countif('SM Repository'!AF:AF,A60)</f>
        <v>0</v>
      </c>
      <c r="C60" s="173">
        <v>2.0</v>
      </c>
      <c r="D60" s="174">
        <v>4.0</v>
      </c>
      <c r="E60" s="174">
        <v>10.0</v>
      </c>
      <c r="F60" s="175"/>
    </row>
    <row r="61">
      <c r="A61" s="172">
        <f t="shared" si="2"/>
        <v>1997</v>
      </c>
      <c r="B61" s="172">
        <f>countif('SM Repository'!AF:AF,A61)</f>
        <v>0</v>
      </c>
      <c r="C61" s="173">
        <v>1.0</v>
      </c>
      <c r="D61" s="174">
        <v>8.0</v>
      </c>
      <c r="E61" s="174">
        <v>9.0</v>
      </c>
      <c r="F61" s="175"/>
    </row>
    <row r="62">
      <c r="A62" s="172">
        <f t="shared" si="2"/>
        <v>1998</v>
      </c>
      <c r="B62" s="172">
        <f>countif('SM Repository'!AF:AF,A62)</f>
        <v>0</v>
      </c>
      <c r="C62" s="173">
        <v>1.0</v>
      </c>
      <c r="D62" s="174">
        <v>13.0</v>
      </c>
      <c r="E62" s="174">
        <v>5.0</v>
      </c>
      <c r="F62" s="175"/>
    </row>
    <row r="63">
      <c r="A63" s="172">
        <f t="shared" si="2"/>
        <v>1999</v>
      </c>
      <c r="B63" s="172">
        <f>countif('SM Repository'!AF:AF,A63)</f>
        <v>0</v>
      </c>
      <c r="C63" s="173">
        <v>2.0</v>
      </c>
      <c r="D63" s="174">
        <v>7.0</v>
      </c>
      <c r="E63" s="174">
        <v>12.0</v>
      </c>
      <c r="F63" s="175"/>
    </row>
    <row r="64">
      <c r="A64" s="172">
        <f t="shared" si="2"/>
        <v>2000</v>
      </c>
      <c r="B64" s="172">
        <f>countif('SM Repository'!AF:AF,A64)</f>
        <v>0</v>
      </c>
      <c r="C64" s="173">
        <v>4.0</v>
      </c>
      <c r="D64" s="174">
        <v>8.0</v>
      </c>
      <c r="E64" s="174">
        <v>11.0</v>
      </c>
      <c r="F64" s="175"/>
    </row>
    <row r="65">
      <c r="A65" s="172">
        <f t="shared" si="2"/>
        <v>2001</v>
      </c>
      <c r="B65" s="172">
        <f>countif('SM Repository'!AF:AF,A65)</f>
        <v>2</v>
      </c>
      <c r="C65" s="173">
        <v>8.0</v>
      </c>
      <c r="D65" s="174">
        <v>11.0</v>
      </c>
      <c r="E65" s="174">
        <v>25.0</v>
      </c>
      <c r="F65" s="175"/>
    </row>
    <row r="66">
      <c r="A66" s="172">
        <f t="shared" si="2"/>
        <v>2002</v>
      </c>
      <c r="B66" s="172">
        <f>countif('SM Repository'!AF:AF,A66)</f>
        <v>5</v>
      </c>
      <c r="C66" s="173">
        <v>1.0</v>
      </c>
      <c r="D66" s="174">
        <v>15.0</v>
      </c>
      <c r="E66" s="174">
        <v>12.0</v>
      </c>
      <c r="F66" s="175"/>
    </row>
    <row r="67">
      <c r="A67" s="172">
        <f t="shared" si="2"/>
        <v>2003</v>
      </c>
      <c r="B67" s="172">
        <f>countif('SM Repository'!AF:AF,A67)</f>
        <v>0</v>
      </c>
      <c r="C67" s="173">
        <v>8.0</v>
      </c>
      <c r="D67" s="174">
        <v>22.0</v>
      </c>
      <c r="E67" s="174">
        <v>12.0</v>
      </c>
      <c r="F67" s="175"/>
    </row>
    <row r="68">
      <c r="A68" s="172">
        <f t="shared" si="2"/>
        <v>2004</v>
      </c>
      <c r="B68" s="172">
        <f>countif('SM Repository'!AF:AF,A68)</f>
        <v>6</v>
      </c>
      <c r="C68" s="173">
        <v>3.0</v>
      </c>
      <c r="D68" s="174">
        <v>20.0</v>
      </c>
      <c r="E68" s="174">
        <v>14.0</v>
      </c>
      <c r="F68" s="175"/>
    </row>
    <row r="69">
      <c r="A69" s="172">
        <f t="shared" si="2"/>
        <v>2005</v>
      </c>
      <c r="B69" s="172">
        <f>countif('SM Repository'!AF:AF,A69)</f>
        <v>10</v>
      </c>
      <c r="C69" s="173">
        <v>8.0</v>
      </c>
      <c r="D69" s="174">
        <v>30.0</v>
      </c>
      <c r="E69" s="174">
        <v>23.0</v>
      </c>
      <c r="F69" s="175"/>
    </row>
    <row r="70">
      <c r="A70" s="172">
        <f t="shared" si="2"/>
        <v>2006</v>
      </c>
      <c r="B70" s="172">
        <f>countif('SM Repository'!AF:AF,A70)</f>
        <v>10</v>
      </c>
      <c r="C70" s="173">
        <v>14.0</v>
      </c>
      <c r="D70" s="174">
        <v>32.0</v>
      </c>
      <c r="E70" s="174">
        <v>38.0</v>
      </c>
      <c r="F70" s="175"/>
    </row>
    <row r="71">
      <c r="A71" s="172">
        <f t="shared" si="2"/>
        <v>2007</v>
      </c>
      <c r="B71" s="172">
        <f>countif('SM Repository'!AF:AF,A71)</f>
        <v>3</v>
      </c>
      <c r="C71" s="173">
        <v>15.0</v>
      </c>
      <c r="D71" s="174">
        <v>45.0</v>
      </c>
      <c r="E71" s="174">
        <v>30.0</v>
      </c>
      <c r="F71" s="175"/>
    </row>
    <row r="72">
      <c r="A72" s="172">
        <f t="shared" si="2"/>
        <v>2008</v>
      </c>
      <c r="B72" s="172">
        <f>countif('SM Repository'!AF:AF,A72)</f>
        <v>13</v>
      </c>
      <c r="C72" s="173">
        <v>11.0</v>
      </c>
      <c r="D72" s="174">
        <v>56.0</v>
      </c>
      <c r="E72" s="174">
        <v>26.0</v>
      </c>
      <c r="F72" s="175"/>
    </row>
    <row r="73">
      <c r="A73" s="172">
        <f t="shared" si="2"/>
        <v>2009</v>
      </c>
      <c r="B73" s="172">
        <f>countif('SM Repository'!AF:AF,A73)</f>
        <v>7</v>
      </c>
      <c r="C73" s="173">
        <v>17.0</v>
      </c>
      <c r="D73" s="174">
        <v>68.0</v>
      </c>
      <c r="E73" s="176"/>
      <c r="F73" s="175"/>
    </row>
    <row r="74">
      <c r="A74" s="172">
        <f t="shared" si="2"/>
        <v>2010</v>
      </c>
      <c r="B74" s="172">
        <f>countif('SM Repository'!AF:AF,A74)</f>
        <v>14</v>
      </c>
      <c r="C74" s="173">
        <v>19.0</v>
      </c>
      <c r="D74" s="174">
        <v>84.0</v>
      </c>
      <c r="E74" s="176"/>
      <c r="F74" s="175"/>
    </row>
    <row r="75">
      <c r="A75" s="172">
        <f t="shared" si="2"/>
        <v>2011</v>
      </c>
      <c r="B75" s="172">
        <f>countif('SM Repository'!AF:AF,A75)</f>
        <v>9</v>
      </c>
      <c r="C75" s="173">
        <v>5.0</v>
      </c>
      <c r="D75" s="174">
        <v>40.0</v>
      </c>
      <c r="E75" s="176"/>
      <c r="F75" s="175"/>
    </row>
    <row r="76">
      <c r="A76" s="179" t="s">
        <v>1262</v>
      </c>
      <c r="B76" s="180">
        <f t="shared" ref="B76:E76" si="3">SUM(B55:B75)</f>
        <v>79</v>
      </c>
      <c r="C76" s="180">
        <f t="shared" si="3"/>
        <v>122</v>
      </c>
      <c r="D76" s="180">
        <f t="shared" si="3"/>
        <v>474</v>
      </c>
      <c r="E76" s="180">
        <f t="shared" si="3"/>
        <v>289</v>
      </c>
    </row>
    <row r="82">
      <c r="A82" s="167" t="s">
        <v>1263</v>
      </c>
      <c r="C82" s="181" t="s">
        <v>1264</v>
      </c>
    </row>
    <row r="83">
      <c r="A83" s="182" t="s">
        <v>266</v>
      </c>
      <c r="B83" s="183">
        <f>IFERROR(__xludf.DUMMYFUNCTION("COUNTA( IFERROR( FILTER( 'SM Repository'!$AA:$AA , SEARCH( A83 , 'SM Repository'!$AA:$AA ) ) ))"),40.0)</f>
        <v>40</v>
      </c>
      <c r="C83" s="108">
        <f t="shared" ref="C83:C99" si="4">100*B83/79</f>
        <v>50.63291139</v>
      </c>
    </row>
    <row r="84">
      <c r="A84" s="182" t="s">
        <v>214</v>
      </c>
      <c r="B84" s="183">
        <f>IFERROR(__xludf.DUMMYFUNCTION("COUNTA( IFERROR( FILTER( 'SM Repository'!$AA:$AA , SEARCH( A84 , 'SM Repository'!$AA:$AA ) ) ))"),18.0)</f>
        <v>18</v>
      </c>
      <c r="C84" s="108">
        <f t="shared" si="4"/>
        <v>22.78481013</v>
      </c>
    </row>
    <row r="85">
      <c r="A85" s="182" t="s">
        <v>464</v>
      </c>
      <c r="B85" s="183">
        <f>IFERROR(__xludf.DUMMYFUNCTION("COUNTA( IFERROR( FILTER( 'SM Repository'!$AA:$AA , SEARCH( A85 , 'SM Repository'!$AA:$AA ) ) ))"),9.0)</f>
        <v>9</v>
      </c>
      <c r="C85" s="108">
        <f t="shared" si="4"/>
        <v>11.39240506</v>
      </c>
    </row>
    <row r="86">
      <c r="A86" s="182" t="s">
        <v>449</v>
      </c>
      <c r="B86" s="183">
        <f>IFERROR(__xludf.DUMMYFUNCTION("COUNTA( IFERROR( FILTER( 'SM Repository'!$AA:$AA , SEARCH( A86 , 'SM Repository'!$AA:$AA ) ) ))"),4.0)</f>
        <v>4</v>
      </c>
      <c r="C86" s="108">
        <f t="shared" si="4"/>
        <v>5.063291139</v>
      </c>
    </row>
    <row r="87">
      <c r="A87" s="182" t="s">
        <v>766</v>
      </c>
      <c r="B87" s="183">
        <f>IFERROR(__xludf.DUMMYFUNCTION("COUNTA( IFERROR( FILTER( 'SM Repository'!$AA:$AA , SEARCH( A87 , 'SM Repository'!$AA:$AA ) ) ))"),3.0)</f>
        <v>3</v>
      </c>
      <c r="C87" s="108">
        <f t="shared" si="4"/>
        <v>3.797468354</v>
      </c>
    </row>
    <row r="88">
      <c r="A88" s="182" t="s">
        <v>883</v>
      </c>
      <c r="B88" s="183">
        <f>IFERROR(__xludf.DUMMYFUNCTION("COUNTA( IFERROR( FILTER( 'SM Repository'!$AA:$AA , SEARCH( A88 , 'SM Repository'!$AA:$AA ) ) ))"),2.0)</f>
        <v>2</v>
      </c>
      <c r="C88" s="108">
        <f t="shared" si="4"/>
        <v>2.53164557</v>
      </c>
    </row>
    <row r="89">
      <c r="A89" s="182" t="s">
        <v>697</v>
      </c>
      <c r="B89" s="183">
        <f>IFERROR(__xludf.DUMMYFUNCTION("COUNTA( IFERROR( FILTER( 'SM Repository'!$AA:$AA , SEARCH( A89 , 'SM Repository'!$AA:$AA ) ) ))"),1.0)</f>
        <v>1</v>
      </c>
      <c r="C89" s="108">
        <f t="shared" si="4"/>
        <v>1.265822785</v>
      </c>
    </row>
    <row r="90">
      <c r="A90" s="182" t="s">
        <v>1265</v>
      </c>
      <c r="B90" s="183">
        <f>IFERROR(__xludf.DUMMYFUNCTION("COUNTA( IFERROR( FILTER( 'SM Repository'!$AA:$AA , SEARCH( A90 , 'SM Repository'!$AA:$AA ) ) ))"),1.0)</f>
        <v>1</v>
      </c>
      <c r="C90" s="108">
        <f t="shared" si="4"/>
        <v>1.265822785</v>
      </c>
    </row>
    <row r="91">
      <c r="A91" s="182" t="s">
        <v>719</v>
      </c>
      <c r="B91" s="183">
        <f>IFERROR(__xludf.DUMMYFUNCTION("COUNTA( IFERROR( FILTER( 'SM Repository'!$AA:$AA , SEARCH( A91 , 'SM Repository'!$AA:$AA ) ) ))"),1.0)</f>
        <v>1</v>
      </c>
      <c r="C91" s="108">
        <f t="shared" si="4"/>
        <v>1.265822785</v>
      </c>
    </row>
    <row r="92">
      <c r="A92" s="182" t="s">
        <v>1036</v>
      </c>
      <c r="B92" s="183">
        <f>IFERROR(__xludf.DUMMYFUNCTION("COUNTA( IFERROR( FILTER( 'SM Repository'!$AA:$AA , SEARCH( A92 , 'SM Repository'!$AA:$AA ) ) ))"),1.0)</f>
        <v>1</v>
      </c>
      <c r="C92" s="108">
        <f t="shared" si="4"/>
        <v>1.265822785</v>
      </c>
    </row>
    <row r="93">
      <c r="A93" s="174" t="s">
        <v>1093</v>
      </c>
      <c r="B93" s="184">
        <f>IFERROR(__xludf.DUMMYFUNCTION("COUNTA( IFERROR( FILTER( 'SM Repository'!$AA:$AA , SEARCH( A93 , 'SM Repository'!$AA:$AA ) ) ))"),1.0)</f>
        <v>1</v>
      </c>
      <c r="C93" s="108">
        <f t="shared" si="4"/>
        <v>1.265822785</v>
      </c>
    </row>
    <row r="94">
      <c r="A94" s="174" t="s">
        <v>1136</v>
      </c>
      <c r="B94" s="184">
        <f>IFERROR(__xludf.DUMMYFUNCTION("COUNTA( IFERROR( FILTER( 'SM Repository'!$AA:$AA , SEARCH( A94 , 'SM Repository'!$AA:$AA ) ) ))"),1.0)</f>
        <v>1</v>
      </c>
      <c r="C94" s="108">
        <f t="shared" si="4"/>
        <v>1.265822785</v>
      </c>
    </row>
    <row r="95">
      <c r="A95" s="174" t="s">
        <v>1028</v>
      </c>
      <c r="B95" s="184">
        <f>IFERROR(__xludf.DUMMYFUNCTION("COUNTA( IFERROR( FILTER( 'SM Repository'!$AA:$AA , SEARCH( A95 , 'SM Repository'!$AA:$AA ) ) ))"),1.0)</f>
        <v>1</v>
      </c>
      <c r="C95" s="108">
        <f t="shared" si="4"/>
        <v>1.265822785</v>
      </c>
    </row>
    <row r="96">
      <c r="A96" s="174" t="s">
        <v>1266</v>
      </c>
      <c r="B96" s="184">
        <f>IFERROR(__xludf.DUMMYFUNCTION("COUNTA( IFERROR( FILTER( 'SM Repository'!$AA:$AA , SEARCH( A96 , 'SM Repository'!$AA:$AA ) ) ))"),1.0)</f>
        <v>1</v>
      </c>
      <c r="C96" s="108">
        <f t="shared" si="4"/>
        <v>1.265822785</v>
      </c>
    </row>
    <row r="97">
      <c r="A97" s="174" t="s">
        <v>583</v>
      </c>
      <c r="B97" s="184">
        <f>IFERROR(__xludf.DUMMYFUNCTION("COUNTA( IFERROR( FILTER( 'SM Repository'!$AA:$AA , SEARCH( A97 , 'SM Repository'!$AA:$AA ) ) ))"),1.0)</f>
        <v>1</v>
      </c>
      <c r="C97" s="108">
        <f t="shared" si="4"/>
        <v>1.265822785</v>
      </c>
    </row>
    <row r="98">
      <c r="A98" s="174" t="s">
        <v>598</v>
      </c>
      <c r="B98" s="184">
        <f>IFERROR(__xludf.DUMMYFUNCTION("COUNTA( IFERROR( FILTER( 'SM Repository'!$AA:$AA , SEARCH( A98 , 'SM Repository'!$AA:$AA ) ) ))"),1.0)</f>
        <v>1</v>
      </c>
      <c r="C98" s="108">
        <f t="shared" si="4"/>
        <v>1.265822785</v>
      </c>
    </row>
    <row r="99">
      <c r="A99" s="80" t="s">
        <v>1069</v>
      </c>
      <c r="B99" s="184">
        <f>IFERROR(__xludf.DUMMYFUNCTION("COUNTA( IFERROR( FILTER( 'SM Repository'!$AA:$AA , SEARCH( A99 , 'SM Repository'!$AA:$AA ) ) ))"),1.0)</f>
        <v>1</v>
      </c>
      <c r="C99" s="108">
        <f t="shared" si="4"/>
        <v>1.265822785</v>
      </c>
    </row>
    <row r="100">
      <c r="A100" s="175"/>
      <c r="B100" s="175"/>
    </row>
    <row r="101">
      <c r="A101" s="184">
        <f>counta(A83:A99)</f>
        <v>17</v>
      </c>
      <c r="B101" s="178"/>
    </row>
    <row r="102">
      <c r="A102" s="184">
        <f>A101/193</f>
        <v>0.08808290155</v>
      </c>
      <c r="B102" s="178"/>
    </row>
    <row r="103">
      <c r="A103" s="176"/>
      <c r="B103" s="178"/>
    </row>
    <row r="104">
      <c r="A104" s="176"/>
      <c r="B104" s="178"/>
    </row>
    <row r="105">
      <c r="A105" s="176"/>
      <c r="B105" s="178"/>
    </row>
    <row r="106">
      <c r="A106" s="185"/>
      <c r="B106" s="186"/>
    </row>
    <row r="107">
      <c r="A107" s="187"/>
      <c r="B107" s="187"/>
    </row>
    <row r="108">
      <c r="A108" s="188"/>
      <c r="B108" s="188"/>
    </row>
    <row r="109">
      <c r="A109" s="189" t="s">
        <v>1267</v>
      </c>
      <c r="B109" s="190">
        <f>'SM Repository'!AB82</f>
        <v>8</v>
      </c>
    </row>
    <row r="111">
      <c r="A111" s="191" t="s">
        <v>1268</v>
      </c>
    </row>
    <row r="112">
      <c r="A112" s="182" t="s">
        <v>1269</v>
      </c>
      <c r="B112" s="183">
        <f>countif('SM Repository'!AP:AP, "x")</f>
        <v>57</v>
      </c>
    </row>
    <row r="113">
      <c r="A113" s="182" t="s">
        <v>1270</v>
      </c>
      <c r="B113" s="183">
        <f>countif('SM Repository'!AQ:AQ, "x")</f>
        <v>41</v>
      </c>
    </row>
    <row r="114">
      <c r="A114" s="182" t="s">
        <v>1271</v>
      </c>
      <c r="B114" s="183">
        <f>countif('SM Repository'!AR:AR, "x")</f>
        <v>30</v>
      </c>
    </row>
    <row r="115">
      <c r="A115" s="182" t="s">
        <v>90</v>
      </c>
      <c r="B115" s="183">
        <f>countif('SM Repository'!AS:AS, "x")</f>
        <v>9</v>
      </c>
    </row>
    <row r="116">
      <c r="A116" s="182" t="s">
        <v>91</v>
      </c>
      <c r="B116" s="183">
        <f>countif('SM Repository'!AT:AT, "x")</f>
        <v>6</v>
      </c>
    </row>
    <row r="117">
      <c r="A117" s="192" t="s">
        <v>85</v>
      </c>
      <c r="B117" s="183">
        <f>countif('SM Repository'!AU:AU, "x")</f>
        <v>11</v>
      </c>
    </row>
    <row r="118">
      <c r="A118" s="193" t="s">
        <v>1262</v>
      </c>
      <c r="B118" s="194">
        <f>SUM(B112:B117)</f>
        <v>154</v>
      </c>
    </row>
    <row r="137">
      <c r="A137" s="178"/>
      <c r="B137" s="193" t="s">
        <v>1269</v>
      </c>
      <c r="C137" s="193" t="s">
        <v>1270</v>
      </c>
      <c r="D137" s="193" t="s">
        <v>1271</v>
      </c>
      <c r="E137" s="193" t="s">
        <v>90</v>
      </c>
      <c r="F137" s="193" t="s">
        <v>91</v>
      </c>
      <c r="G137" s="195" t="s">
        <v>85</v>
      </c>
      <c r="H137" s="196"/>
    </row>
    <row r="138">
      <c r="A138" s="171">
        <v>2000.0</v>
      </c>
      <c r="B138" s="61">
        <f>IFERROR(__xludf.DUMMYFUNCTION("COUNTIF(FILTER('SM Repository'!AP:AP, 'SM Repository'!AF:AF = $A138, 'SM Repository'!AP:AP &lt;&gt; """"), ""x"")"),0.0)</f>
        <v>0</v>
      </c>
      <c r="C138" s="61">
        <f>IFERROR(__xludf.DUMMYFUNCTION("COUNTIF(FILTER('SM Repository'!AQ:AQ, 'SM Repository'!AF:AF = $A138, 'SM Repository'!AQ:AQ &lt;&gt; """"), ""x"")"),0.0)</f>
        <v>0</v>
      </c>
      <c r="D138" s="61">
        <f>IFERROR(__xludf.DUMMYFUNCTION("COUNTIF(FILTER('SM Repository'!AR:AR, 'SM Repository'!AF:AF = $A138, 'SM Repository'!AR:AR &lt;&gt; """"), ""x"")"),0.0)</f>
        <v>0</v>
      </c>
      <c r="E138" s="61">
        <f>IFERROR(__xludf.DUMMYFUNCTION("COUNTIF(FILTER('SM Repository'!AS:AS, 'SM Repository'!AF:AF = $A138, 'SM Repository'!AS:AS &lt;&gt; """"), ""x"")"),0.0)</f>
        <v>0</v>
      </c>
      <c r="F138" s="61">
        <f>IFERROR(__xludf.DUMMYFUNCTION("COUNTIF(FILTER('SM Repository'!AT:AT, 'SM Repository'!AF:AF = $A138, 'SM Repository'!AT:AT &lt;&gt; """"), ""x"")"),0.0)</f>
        <v>0</v>
      </c>
      <c r="G138" s="61">
        <f>IFERROR(__xludf.DUMMYFUNCTION("COUNTIF(FILTER('SM Repository'!AU:AU, 'SM Repository'!AF:AF = $A138, 'SM Repository'!AU:AU &lt;&gt; """"), ""x"")"),0.0)</f>
        <v>0</v>
      </c>
    </row>
    <row r="139">
      <c r="A139" s="172">
        <f t="shared" ref="A139:A149" si="5">A138+1</f>
        <v>2001</v>
      </c>
      <c r="B139" s="61">
        <f>IFERROR(__xludf.DUMMYFUNCTION("COUNTIF(FILTER('SM Repository'!AP:AP, 'SM Repository'!AF:AF = $A139, 'SM Repository'!AP:AP &lt;&gt; """"), ""x"")"),1.0)</f>
        <v>1</v>
      </c>
      <c r="C139" s="61">
        <f>IFERROR(__xludf.DUMMYFUNCTION("COUNTIF(FILTER('SM Repository'!AQ:AQ, 'SM Repository'!AF:AF = $A139, 'SM Repository'!AQ:AQ &lt;&gt; """"), ""x"")"),1.0)</f>
        <v>1</v>
      </c>
      <c r="D139" s="61">
        <f>IFERROR(__xludf.DUMMYFUNCTION("COUNTIF(FILTER('SM Repository'!AR:AR, 'SM Repository'!AF:AF = $A139, 'SM Repository'!AR:AR &lt;&gt; """"), ""x"")"),2.0)</f>
        <v>2</v>
      </c>
      <c r="E139" s="61">
        <f>IFERROR(__xludf.DUMMYFUNCTION("COUNTIF(FILTER('SM Repository'!AS:AS, 'SM Repository'!AF:AF = $A139, 'SM Repository'!AS:AS &lt;&gt; """"), ""x"")"),0.0)</f>
        <v>0</v>
      </c>
      <c r="F139" s="61">
        <f>IFERROR(__xludf.DUMMYFUNCTION("COUNTIF(FILTER('SM Repository'!AT:AT, 'SM Repository'!AF:AF = $A139, 'SM Repository'!AT:AT &lt;&gt; """"), ""x"")"),0.0)</f>
        <v>0</v>
      </c>
      <c r="G139" s="61">
        <f>IFERROR(__xludf.DUMMYFUNCTION("COUNTIF(FILTER('SM Repository'!AU:AU, 'SM Repository'!AF:AF = $A139, 'SM Repository'!AU:AU &lt;&gt; """"), ""x"")"),0.0)</f>
        <v>0</v>
      </c>
    </row>
    <row r="140">
      <c r="A140" s="172">
        <f t="shared" si="5"/>
        <v>2002</v>
      </c>
      <c r="B140" s="61">
        <f>IFERROR(__xludf.DUMMYFUNCTION("COUNTIF(FILTER('SM Repository'!AP:AP, 'SM Repository'!AF:AF = $A140, 'SM Repository'!AP:AP &lt;&gt; """"), ""x"")"),4.0)</f>
        <v>4</v>
      </c>
      <c r="C140" s="61">
        <f>IFERROR(__xludf.DUMMYFUNCTION("COUNTIF(FILTER('SM Repository'!AQ:AQ, 'SM Repository'!AF:AF = $A140, 'SM Repository'!AQ:AQ &lt;&gt; """"), ""x"")"),4.0)</f>
        <v>4</v>
      </c>
      <c r="D140" s="61">
        <f>IFERROR(__xludf.DUMMYFUNCTION("COUNTIF(FILTER('SM Repository'!AR:AR, 'SM Repository'!AF:AF = $A140, 'SM Repository'!AR:AR &lt;&gt; """"), ""x"")"),2.0)</f>
        <v>2</v>
      </c>
      <c r="E140" s="61">
        <f>IFERROR(__xludf.DUMMYFUNCTION("COUNTIF(FILTER('SM Repository'!AS:AS, 'SM Repository'!AF:AF = $A140, 'SM Repository'!AS:AS &lt;&gt; """"), ""x"")"),0.0)</f>
        <v>0</v>
      </c>
      <c r="F140" s="61">
        <f>IFERROR(__xludf.DUMMYFUNCTION("COUNTIF(FILTER('SM Repository'!AT:AT, 'SM Repository'!AF:AF = $A140, 'SM Repository'!AT:AT &lt;&gt; """"), ""x"")"),1.0)</f>
        <v>1</v>
      </c>
      <c r="G140" s="61">
        <f>IFERROR(__xludf.DUMMYFUNCTION("COUNTIF(FILTER('SM Repository'!AU:AU, 'SM Repository'!AF:AF = $A140, 'SM Repository'!AU:AU &lt;&gt; """"), ""x"")"),0.0)</f>
        <v>0</v>
      </c>
    </row>
    <row r="141">
      <c r="A141" s="172">
        <f t="shared" si="5"/>
        <v>2003</v>
      </c>
      <c r="B141" s="61">
        <f>IFERROR(__xludf.DUMMYFUNCTION("COUNTIF(FILTER('SM Repository'!AP:AP, 'SM Repository'!AF:AF = $A141, 'SM Repository'!AP:AP &lt;&gt; """"), ""x"")"),0.0)</f>
        <v>0</v>
      </c>
      <c r="C141" s="61">
        <f>IFERROR(__xludf.DUMMYFUNCTION("COUNTIF(FILTER('SM Repository'!AQ:AQ, 'SM Repository'!AF:AF = $A141, 'SM Repository'!AQ:AQ &lt;&gt; """"), ""x"")"),0.0)</f>
        <v>0</v>
      </c>
      <c r="D141" s="61">
        <f>IFERROR(__xludf.DUMMYFUNCTION("COUNTIF(FILTER('SM Repository'!AR:AR, 'SM Repository'!AF:AF = $A141, 'SM Repository'!AR:AR &lt;&gt; """"), ""x"")"),0.0)</f>
        <v>0</v>
      </c>
      <c r="E141" s="61">
        <f>IFERROR(__xludf.DUMMYFUNCTION("COUNTIF(FILTER('SM Repository'!AS:AS, 'SM Repository'!AF:AF = $A141, 'SM Repository'!AS:AS &lt;&gt; """"), ""x"")"),0.0)</f>
        <v>0</v>
      </c>
      <c r="F141" s="61">
        <f>IFERROR(__xludf.DUMMYFUNCTION("COUNTIF(FILTER('SM Repository'!AT:AT, 'SM Repository'!AF:AF = $A141, 'SM Repository'!AT:AT &lt;&gt; """"), ""x"")"),0.0)</f>
        <v>0</v>
      </c>
      <c r="G141" s="61">
        <f>IFERROR(__xludf.DUMMYFUNCTION("COUNTIF(FILTER('SM Repository'!AU:AU, 'SM Repository'!AF:AF = $A141, 'SM Repository'!AU:AU &lt;&gt; """"), ""x"")"),0.0)</f>
        <v>0</v>
      </c>
    </row>
    <row r="142">
      <c r="A142" s="172">
        <f t="shared" si="5"/>
        <v>2004</v>
      </c>
      <c r="B142" s="61">
        <f>IFERROR(__xludf.DUMMYFUNCTION("COUNTIF(FILTER('SM Repository'!AP:AP, 'SM Repository'!AF:AF = $A142, 'SM Repository'!AP:AP &lt;&gt; """"), ""x"")"),5.0)</f>
        <v>5</v>
      </c>
      <c r="C142" s="61">
        <f>IFERROR(__xludf.DUMMYFUNCTION("COUNTIF(FILTER('SM Repository'!AQ:AQ, 'SM Repository'!AF:AF = $A142, 'SM Repository'!AQ:AQ &lt;&gt; """"), ""x"")"),3.0)</f>
        <v>3</v>
      </c>
      <c r="D142" s="61">
        <f>IFERROR(__xludf.DUMMYFUNCTION("COUNTIF(FILTER('SM Repository'!AR:AR, 'SM Repository'!AF:AF = $A142, 'SM Repository'!AR:AR &lt;&gt; """"), ""x"")"),3.0)</f>
        <v>3</v>
      </c>
      <c r="E142" s="61">
        <f>IFERROR(__xludf.DUMMYFUNCTION("COUNTIF(FILTER('SM Repository'!AS:AS, 'SM Repository'!AF:AF = $A142, 'SM Repository'!AS:AS &lt;&gt; """"), ""x"")"),1.0)</f>
        <v>1</v>
      </c>
      <c r="F142" s="61">
        <f>IFERROR(__xludf.DUMMYFUNCTION("COUNTIF(FILTER('SM Repository'!AT:AT, 'SM Repository'!AF:AF = $A142, 'SM Repository'!AT:AT &lt;&gt; """"), ""x"")"),1.0)</f>
        <v>1</v>
      </c>
      <c r="G142" s="61">
        <f>IFERROR(__xludf.DUMMYFUNCTION("COUNTIF(FILTER('SM Repository'!AU:AU, 'SM Repository'!AF:AF = $A142, 'SM Repository'!AU:AU &lt;&gt; """"), ""x"")"),0.0)</f>
        <v>0</v>
      </c>
    </row>
    <row r="143">
      <c r="A143" s="172">
        <f t="shared" si="5"/>
        <v>2005</v>
      </c>
      <c r="B143" s="61">
        <f>IFERROR(__xludf.DUMMYFUNCTION("COUNTIF(FILTER('SM Repository'!AP:AP, 'SM Repository'!AF:AF = $A143, 'SM Repository'!AP:AP &lt;&gt; """"), ""x"")"),8.0)</f>
        <v>8</v>
      </c>
      <c r="C143" s="61">
        <f>IFERROR(__xludf.DUMMYFUNCTION("COUNTIF(FILTER('SM Repository'!AQ:AQ, 'SM Repository'!AF:AF = $A143, 'SM Repository'!AQ:AQ &lt;&gt; """"), ""x"")"),4.0)</f>
        <v>4</v>
      </c>
      <c r="D143" s="61">
        <f>IFERROR(__xludf.DUMMYFUNCTION("COUNTIF(FILTER('SM Repository'!AR:AR, 'SM Repository'!AF:AF = $A143, 'SM Repository'!AR:AR &lt;&gt; """"), ""x"")"),3.0)</f>
        <v>3</v>
      </c>
      <c r="E143" s="61">
        <f>IFERROR(__xludf.DUMMYFUNCTION("COUNTIF(FILTER('SM Repository'!AS:AS, 'SM Repository'!AF:AF = $A143, 'SM Repository'!AS:AS &lt;&gt; """"), ""x"")"),0.0)</f>
        <v>0</v>
      </c>
      <c r="F143" s="61">
        <f>IFERROR(__xludf.DUMMYFUNCTION("COUNTIF(FILTER('SM Repository'!AT:AT, 'SM Repository'!AF:AF = $A143, 'SM Repository'!AT:AT &lt;&gt; """"), ""x"")"),1.0)</f>
        <v>1</v>
      </c>
      <c r="G143" s="61">
        <f>IFERROR(__xludf.DUMMYFUNCTION("COUNTIF(FILTER('SM Repository'!AU:AU, 'SM Repository'!AF:AF = $A143, 'SM Repository'!AU:AU &lt;&gt; """"), ""x"")"),1.0)</f>
        <v>1</v>
      </c>
    </row>
    <row r="144">
      <c r="A144" s="172">
        <f t="shared" si="5"/>
        <v>2006</v>
      </c>
      <c r="B144" s="61">
        <f>IFERROR(__xludf.DUMMYFUNCTION("COUNTIF(FILTER('SM Repository'!AP:AP, 'SM Repository'!AF:AF = $A144, 'SM Repository'!AP:AP &lt;&gt; """"), ""x"")"),6.0)</f>
        <v>6</v>
      </c>
      <c r="C144" s="61">
        <f>IFERROR(__xludf.DUMMYFUNCTION("COUNTIF(FILTER('SM Repository'!AQ:AQ, 'SM Repository'!AF:AF = $A144, 'SM Repository'!AQ:AQ &lt;&gt; """"), ""x"")"),1.0)</f>
        <v>1</v>
      </c>
      <c r="D144" s="61">
        <f>IFERROR(__xludf.DUMMYFUNCTION("COUNTIF(FILTER('SM Repository'!AR:AR, 'SM Repository'!AF:AF = $A144, 'SM Repository'!AR:AR &lt;&gt; """"), ""x"")"),5.0)</f>
        <v>5</v>
      </c>
      <c r="E144" s="61">
        <f>IFERROR(__xludf.DUMMYFUNCTION("COUNTIF(FILTER('SM Repository'!AS:AS, 'SM Repository'!AF:AF = $A144, 'SM Repository'!AS:AS &lt;&gt; """"), ""x"")"),1.0)</f>
        <v>1</v>
      </c>
      <c r="F144" s="61">
        <f>IFERROR(__xludf.DUMMYFUNCTION("COUNTIF(FILTER('SM Repository'!AT:AT, 'SM Repository'!AF:AF = $A144, 'SM Repository'!AT:AT &lt;&gt; """"), ""x"")"),0.0)</f>
        <v>0</v>
      </c>
      <c r="G144" s="61">
        <f>IFERROR(__xludf.DUMMYFUNCTION("COUNTIF(FILTER('SM Repository'!AU:AU, 'SM Repository'!AF:AF = $A144, 'SM Repository'!AU:AU &lt;&gt; """"), ""x"")"),3.0)</f>
        <v>3</v>
      </c>
    </row>
    <row r="145">
      <c r="A145" s="172">
        <f t="shared" si="5"/>
        <v>2007</v>
      </c>
      <c r="B145" s="61">
        <f>IFERROR(__xludf.DUMMYFUNCTION("COUNTIF(FILTER('SM Repository'!AP:AP, 'SM Repository'!AF:AF = $A145, 'SM Repository'!AP:AP &lt;&gt; """"), ""x"")"),1.0)</f>
        <v>1</v>
      </c>
      <c r="C145" s="61">
        <f>IFERROR(__xludf.DUMMYFUNCTION("COUNTIF(FILTER('SM Repository'!AQ:AQ, 'SM Repository'!AF:AF = $A145, 'SM Repository'!AQ:AQ &lt;&gt; """"), ""x"")"),2.0)</f>
        <v>2</v>
      </c>
      <c r="D145" s="61">
        <f>IFERROR(__xludf.DUMMYFUNCTION("COUNTIF(FILTER('SM Repository'!AR:AR, 'SM Repository'!AF:AF = $A145, 'SM Repository'!AR:AR &lt;&gt; """"), ""x"")"),0.0)</f>
        <v>0</v>
      </c>
      <c r="E145" s="61">
        <f>IFERROR(__xludf.DUMMYFUNCTION("COUNTIF(FILTER('SM Repository'!AS:AS, 'SM Repository'!AF:AF = $A145, 'SM Repository'!AS:AS &lt;&gt; """"), ""x"")"),1.0)</f>
        <v>1</v>
      </c>
      <c r="F145" s="61">
        <f>IFERROR(__xludf.DUMMYFUNCTION("COUNTIF(FILTER('SM Repository'!AT:AT, 'SM Repository'!AF:AF = $A145, 'SM Repository'!AT:AT &lt;&gt; """"), ""x"")"),0.0)</f>
        <v>0</v>
      </c>
      <c r="G145" s="61">
        <f>IFERROR(__xludf.DUMMYFUNCTION("COUNTIF(FILTER('SM Repository'!AU:AU, 'SM Repository'!AF:AF = $A145, 'SM Repository'!AU:AU &lt;&gt; """"), ""x"")"),2.0)</f>
        <v>2</v>
      </c>
    </row>
    <row r="146">
      <c r="A146" s="172">
        <f t="shared" si="5"/>
        <v>2008</v>
      </c>
      <c r="B146" s="61">
        <f>IFERROR(__xludf.DUMMYFUNCTION("COUNTIF(FILTER('SM Repository'!AP:AP, 'SM Repository'!AF:AF = $A146, 'SM Repository'!AP:AP &lt;&gt; """"), ""x"")"),11.0)</f>
        <v>11</v>
      </c>
      <c r="C146" s="61">
        <f>IFERROR(__xludf.DUMMYFUNCTION("COUNTIF(FILTER('SM Repository'!AQ:AQ, 'SM Repository'!AF:AF = $A146, 'SM Repository'!AQ:AQ &lt;&gt; """"), ""x"")"),7.0)</f>
        <v>7</v>
      </c>
      <c r="D146" s="61">
        <f>IFERROR(__xludf.DUMMYFUNCTION("COUNTIF(FILTER('SM Repository'!AR:AR, 'SM Repository'!AF:AF = $A146, 'SM Repository'!AR:AR &lt;&gt; """"), ""x"")"),4.0)</f>
        <v>4</v>
      </c>
      <c r="E146" s="61">
        <f>IFERROR(__xludf.DUMMYFUNCTION("COUNTIF(FILTER('SM Repository'!AS:AS, 'SM Repository'!AF:AF = $A146, 'SM Repository'!AS:AS &lt;&gt; """"), ""x"")"),1.0)</f>
        <v>1</v>
      </c>
      <c r="F146" s="61">
        <f>IFERROR(__xludf.DUMMYFUNCTION("COUNTIF(FILTER('SM Repository'!AT:AT, 'SM Repository'!AF:AF = $A146, 'SM Repository'!AT:AT &lt;&gt; """"), ""x"")"),0.0)</f>
        <v>0</v>
      </c>
      <c r="G146" s="61">
        <f>IFERROR(__xludf.DUMMYFUNCTION("COUNTIF(FILTER('SM Repository'!AU:AU, 'SM Repository'!AF:AF = $A146, 'SM Repository'!AU:AU &lt;&gt; """"), ""x"")"),1.0)</f>
        <v>1</v>
      </c>
    </row>
    <row r="147">
      <c r="A147" s="172">
        <f t="shared" si="5"/>
        <v>2009</v>
      </c>
      <c r="B147" s="61">
        <f>IFERROR(__xludf.DUMMYFUNCTION("COUNTIF(FILTER('SM Repository'!AP:AP, 'SM Repository'!AF:AF = $A147, 'SM Repository'!AP:AP &lt;&gt; """"), ""x"")"),4.0)</f>
        <v>4</v>
      </c>
      <c r="C147" s="61">
        <f>IFERROR(__xludf.DUMMYFUNCTION("COUNTIF(FILTER('SM Repository'!AQ:AQ, 'SM Repository'!AF:AF = $A147, 'SM Repository'!AQ:AQ &lt;&gt; """"), ""x"")"),3.0)</f>
        <v>3</v>
      </c>
      <c r="D147" s="61">
        <f>IFERROR(__xludf.DUMMYFUNCTION("COUNTIF(FILTER('SM Repository'!AR:AR, 'SM Repository'!AF:AF = $A147, 'SM Repository'!AR:AR &lt;&gt; """"), ""x"")"),4.0)</f>
        <v>4</v>
      </c>
      <c r="E147" s="61">
        <f>IFERROR(__xludf.DUMMYFUNCTION("COUNTIF(FILTER('SM Repository'!AS:AS, 'SM Repository'!AF:AF = $A147, 'SM Repository'!AS:AS &lt;&gt; """"), ""x"")"),1.0)</f>
        <v>1</v>
      </c>
      <c r="F147" s="61">
        <f>IFERROR(__xludf.DUMMYFUNCTION("COUNTIF(FILTER('SM Repository'!AT:AT, 'SM Repository'!AF:AF = $A147, 'SM Repository'!AT:AT &lt;&gt; """"), ""x"")"),0.0)</f>
        <v>0</v>
      </c>
      <c r="G147" s="61">
        <f>IFERROR(__xludf.DUMMYFUNCTION("COUNTIF(FILTER('SM Repository'!AU:AU, 'SM Repository'!AF:AF = $A147, 'SM Repository'!AU:AU &lt;&gt; """"), ""x"")"),1.0)</f>
        <v>1</v>
      </c>
    </row>
    <row r="148">
      <c r="A148" s="172">
        <f t="shared" si="5"/>
        <v>2010</v>
      </c>
      <c r="B148" s="61">
        <f>IFERROR(__xludf.DUMMYFUNCTION("COUNTIF(FILTER('SM Repository'!AP:AP, 'SM Repository'!AF:AF = $A148, 'SM Repository'!AP:AP &lt;&gt; """"), ""x"")"),11.0)</f>
        <v>11</v>
      </c>
      <c r="C148" s="61">
        <f>IFERROR(__xludf.DUMMYFUNCTION("COUNTIF(FILTER('SM Repository'!AQ:AQ, 'SM Repository'!AF:AF = $A148, 'SM Repository'!AQ:AQ &lt;&gt; """"), ""x"")"),10.0)</f>
        <v>10</v>
      </c>
      <c r="D148" s="61">
        <f>IFERROR(__xludf.DUMMYFUNCTION("COUNTIF(FILTER('SM Repository'!AR:AR, 'SM Repository'!AF:AF = $A148, 'SM Repository'!AR:AR &lt;&gt; """"), ""x"")"),3.0)</f>
        <v>3</v>
      </c>
      <c r="E148" s="61">
        <f>IFERROR(__xludf.DUMMYFUNCTION("COUNTIF(FILTER('SM Repository'!AS:AS, 'SM Repository'!AF:AF = $A148, 'SM Repository'!AS:AS &lt;&gt; """"), ""x"")"),2.0)</f>
        <v>2</v>
      </c>
      <c r="F148" s="61">
        <f>IFERROR(__xludf.DUMMYFUNCTION("COUNTIF(FILTER('SM Repository'!AT:AT, 'SM Repository'!AF:AF = $A148, 'SM Repository'!AT:AT &lt;&gt; """"), ""x"")"),1.0)</f>
        <v>1</v>
      </c>
      <c r="G148" s="61">
        <f>IFERROR(__xludf.DUMMYFUNCTION("COUNTIF(FILTER('SM Repository'!AU:AU, 'SM Repository'!AF:AF = $A148, 'SM Repository'!AU:AU &lt;&gt; """"), ""x"")"),2.0)</f>
        <v>2</v>
      </c>
    </row>
    <row r="149">
      <c r="A149" s="172">
        <f t="shared" si="5"/>
        <v>2011</v>
      </c>
      <c r="B149" s="61">
        <f>IFERROR(__xludf.DUMMYFUNCTION("COUNTIF(FILTER('SM Repository'!AP:AP, 'SM Repository'!AF:AF = $A149, 'SM Repository'!AP:AP &lt;&gt; """"), ""x"")"),6.0)</f>
        <v>6</v>
      </c>
      <c r="C149" s="61">
        <f>IFERROR(__xludf.DUMMYFUNCTION("COUNTIF(FILTER('SM Repository'!AQ:AQ, 'SM Repository'!AF:AF = $A149, 'SM Repository'!AQ:AQ &lt;&gt; """"), ""x"")"),6.0)</f>
        <v>6</v>
      </c>
      <c r="D149" s="61">
        <f>IFERROR(__xludf.DUMMYFUNCTION("COUNTIF(FILTER('SM Repository'!AR:AR, 'SM Repository'!AF:AF = $A149, 'SM Repository'!AR:AR &lt;&gt; """"), ""x"")"),4.0)</f>
        <v>4</v>
      </c>
      <c r="E149" s="61">
        <f>IFERROR(__xludf.DUMMYFUNCTION("COUNTIF(FILTER('SM Repository'!AS:AS, 'SM Repository'!AF:AF = $A149, 'SM Repository'!AS:AS &lt;&gt; """"), ""x"")"),2.0)</f>
        <v>2</v>
      </c>
      <c r="F149" s="61">
        <f>IFERROR(__xludf.DUMMYFUNCTION("COUNTIF(FILTER('SM Repository'!AT:AT, 'SM Repository'!AF:AF = $A149, 'SM Repository'!AT:AT &lt;&gt; """"), ""x"")"),2.0)</f>
        <v>2</v>
      </c>
      <c r="G149" s="61">
        <f>IFERROR(__xludf.DUMMYFUNCTION("COUNTIF(FILTER('SM Repository'!AU:AU, 'SM Repository'!AF:AF = $A149, 'SM Repository'!AU:AU &lt;&gt; """"), ""x"")"),1.0)</f>
        <v>1</v>
      </c>
    </row>
    <row r="150">
      <c r="A150" s="193" t="s">
        <v>1262</v>
      </c>
      <c r="B150" s="194">
        <f>SUM(B138:G149)</f>
        <v>154</v>
      </c>
    </row>
    <row r="166">
      <c r="A166" s="187"/>
      <c r="B166" s="187"/>
      <c r="C166" s="187"/>
      <c r="D166" s="187"/>
    </row>
    <row r="167">
      <c r="A167" s="197" t="s">
        <v>1272</v>
      </c>
      <c r="B167" s="188"/>
      <c r="C167" s="188"/>
      <c r="D167" s="188"/>
    </row>
    <row r="168">
      <c r="A168" s="80" t="s">
        <v>1330</v>
      </c>
      <c r="B168" s="61">
        <f>CORREL('SM Repository-Feb 2013 (do not '!AF3:AF81, 'SM Repository-Feb 2013 (do not '!EF3:EF81)</f>
        <v>0.3390334653</v>
      </c>
    </row>
    <row r="194">
      <c r="A194" s="187"/>
      <c r="B194" s="187"/>
      <c r="C194" s="187"/>
      <c r="D194" s="187"/>
    </row>
    <row r="195">
      <c r="A195" s="197" t="s">
        <v>1273</v>
      </c>
      <c r="B195" s="188"/>
      <c r="C195" s="188"/>
      <c r="D195" s="188"/>
    </row>
    <row r="224">
      <c r="A224" s="198" t="s">
        <v>1274</v>
      </c>
    </row>
    <row r="225">
      <c r="B225" s="80" t="s">
        <v>1258</v>
      </c>
      <c r="C225" s="80" t="s">
        <v>1275</v>
      </c>
    </row>
    <row r="226">
      <c r="A226" s="182" t="s">
        <v>1276</v>
      </c>
      <c r="B226" s="183">
        <f>countif('SM Repository'!AW:AW, "x")</f>
        <v>27</v>
      </c>
      <c r="C226" s="80">
        <v>26.0</v>
      </c>
    </row>
    <row r="227">
      <c r="A227" s="182" t="s">
        <v>1277</v>
      </c>
      <c r="B227" s="183">
        <f>countif('SM Repository'!AX:AX, "x")</f>
        <v>41</v>
      </c>
      <c r="C227" s="80">
        <v>4.0</v>
      </c>
    </row>
    <row r="228">
      <c r="A228" s="182" t="s">
        <v>1278</v>
      </c>
      <c r="B228" s="183">
        <f>countif('SM Repository'!AY:AY, "x")</f>
        <v>10</v>
      </c>
      <c r="C228" s="80">
        <v>5.0</v>
      </c>
    </row>
    <row r="229">
      <c r="A229" s="182" t="s">
        <v>1279</v>
      </c>
      <c r="B229" s="183">
        <f>countif('SM Repository'!AZ:AZ, "x")</f>
        <v>1</v>
      </c>
      <c r="C229" s="80">
        <v>4.0</v>
      </c>
    </row>
    <row r="230">
      <c r="A230" s="182" t="s">
        <v>1280</v>
      </c>
      <c r="B230" s="183">
        <f>countif('SM Repository'!BA:BA, "x")</f>
        <v>0</v>
      </c>
      <c r="C230" s="80">
        <v>2.0</v>
      </c>
    </row>
    <row r="231">
      <c r="A231" s="182" t="s">
        <v>101</v>
      </c>
      <c r="B231" s="183">
        <f>countif('SM Repository'!BB:BB, "x")</f>
        <v>0</v>
      </c>
      <c r="C231" s="80">
        <v>4.0</v>
      </c>
    </row>
    <row r="232">
      <c r="A232" s="178"/>
      <c r="B232" s="178"/>
    </row>
    <row r="233">
      <c r="A233" s="193" t="s">
        <v>1262</v>
      </c>
      <c r="B233" s="194">
        <f>SUM(B226:B232)</f>
        <v>79</v>
      </c>
    </row>
    <row r="251">
      <c r="B251" s="182" t="s">
        <v>1276</v>
      </c>
      <c r="C251" s="182" t="s">
        <v>1281</v>
      </c>
      <c r="D251" s="182" t="s">
        <v>1282</v>
      </c>
      <c r="E251" s="182" t="s">
        <v>99</v>
      </c>
      <c r="F251" s="182" t="s">
        <v>100</v>
      </c>
      <c r="G251" s="182" t="s">
        <v>101</v>
      </c>
      <c r="H251" s="182" t="s">
        <v>85</v>
      </c>
    </row>
    <row r="252">
      <c r="A252" s="171">
        <v>2000.0</v>
      </c>
      <c r="B252" s="61">
        <f>IFERROR(__xludf.DUMMYFUNCTION("COUNTIF(FILTER('SM Repository'!AW:AW, 'SM Repository'!AF:AF = $A252, 'SM Repository'!AW:AW &lt;&gt; """"), ""x"")"),0.0)</f>
        <v>0</v>
      </c>
      <c r="C252" s="61">
        <f>IFERROR(__xludf.DUMMYFUNCTION("COUNTIF(FILTER('SM Repository'!AX:AX, 'SM Repository'!AF:AF = $A252, 'SM Repository'!AX:AX &lt;&gt; """"), ""x"")"),0.0)</f>
        <v>0</v>
      </c>
      <c r="D252" s="61">
        <f>IFERROR(__xludf.DUMMYFUNCTION("COUNTIF(FILTER('SM Repository'!AY:AY, 'SM Repository'!AF:AF = $A252, 'SM Repository'!AY:AY &lt;&gt; """"), ""x"")"),0.0)</f>
        <v>0</v>
      </c>
      <c r="E252" s="61">
        <f>IFERROR(__xludf.DUMMYFUNCTION("COUNTIF(FILTER('SM Repository'!AZ:AZ, 'SM Repository'!AF:AF = $A252, 'SM Repository'!AZ:AZ &lt;&gt; """"), ""x"")"),0.0)</f>
        <v>0</v>
      </c>
      <c r="F252" s="61">
        <f>IFERROR(__xludf.DUMMYFUNCTION("COUNTIF(FILTER('SM Repository'!BA:BA, 'SM Repository'!AF:AF = $A252, 'SM Repository'!BA:BA &lt;&gt; """"), ""x"")"),0.0)</f>
        <v>0</v>
      </c>
      <c r="G252" s="61">
        <f>IFERROR(__xludf.DUMMYFUNCTION("COUNTIF(FILTER('SM Repository'!BB:BB, 'SM Repository'!AF:AF = $A252, 'SM Repository'!BB:BB &lt;&gt; """"), ""x"")"),0.0)</f>
        <v>0</v>
      </c>
      <c r="H252" s="61">
        <f>IFERROR(__xludf.DUMMYFUNCTION("COUNTIF(FILTER('SM Repository'!BC:BC, 'SM Repository'!AF:AF = $A252, 'SM Repository'!BC:BC &lt;&gt; """"), ""x"")"),0.0)</f>
        <v>0</v>
      </c>
    </row>
    <row r="253">
      <c r="A253" s="172">
        <f t="shared" ref="A253:A263" si="6">A252+1</f>
        <v>2001</v>
      </c>
      <c r="B253" s="61">
        <f>IFERROR(__xludf.DUMMYFUNCTION("COUNTIF(FILTER('SM Repository'!AW:AW, 'SM Repository'!AF:AF = $A253, 'SM Repository'!AW:AW &lt;&gt; """"), ""x"")"),0.0)</f>
        <v>0</v>
      </c>
      <c r="C253" s="61">
        <f>IFERROR(__xludf.DUMMYFUNCTION("COUNTIF(FILTER('SM Repository'!AX:AX, 'SM Repository'!AF:AF = $A253, 'SM Repository'!AX:AX &lt;&gt; """"), ""x"")"),2.0)</f>
        <v>2</v>
      </c>
      <c r="D253" s="61">
        <f>IFERROR(__xludf.DUMMYFUNCTION("COUNTIF(FILTER('SM Repository'!AY:AY, 'SM Repository'!AF:AF = $A253, 'SM Repository'!AY:AY &lt;&gt; """"), ""x"")"),0.0)</f>
        <v>0</v>
      </c>
      <c r="E253" s="61">
        <f>IFERROR(__xludf.DUMMYFUNCTION("COUNTIF(FILTER('SM Repository'!AZ:AZ, 'SM Repository'!AF:AF = $A253, 'SM Repository'!AZ:AZ &lt;&gt; """"), ""x"")"),0.0)</f>
        <v>0</v>
      </c>
      <c r="F253" s="61">
        <f>IFERROR(__xludf.DUMMYFUNCTION("COUNTIF(FILTER('SM Repository'!BA:BA, 'SM Repository'!AF:AF = $A253, 'SM Repository'!BA:BA &lt;&gt; """"), ""x"")"),0.0)</f>
        <v>0</v>
      </c>
      <c r="G253" s="61">
        <f>IFERROR(__xludf.DUMMYFUNCTION("COUNTIF(FILTER('SM Repository'!BB:BB, 'SM Repository'!AF:AF = $A253, 'SM Repository'!BB:BB &lt;&gt; """"), ""x"")"),0.0)</f>
        <v>0</v>
      </c>
      <c r="H253" s="61">
        <f>IFERROR(__xludf.DUMMYFUNCTION("COUNTIF(FILTER('SM Repository'!BC:BC, 'SM Repository'!AF:AF = $A253, 'SM Repository'!BC:BC &lt;&gt; """"), ""x"")"),0.0)</f>
        <v>0</v>
      </c>
    </row>
    <row r="254">
      <c r="A254" s="172">
        <f t="shared" si="6"/>
        <v>2002</v>
      </c>
      <c r="B254" s="61">
        <f>IFERROR(__xludf.DUMMYFUNCTION("COUNTIF(FILTER('SM Repository'!AW:AW, 'SM Repository'!AF:AF = $A254, 'SM Repository'!AW:AW &lt;&gt; """"), ""x"")"),4.0)</f>
        <v>4</v>
      </c>
      <c r="C254" s="61">
        <f>IFERROR(__xludf.DUMMYFUNCTION("COUNTIF(FILTER('SM Repository'!AX:AX, 'SM Repository'!AF:AF = $A254, 'SM Repository'!AX:AX &lt;&gt; """"), ""x"")"),1.0)</f>
        <v>1</v>
      </c>
      <c r="D254" s="61">
        <f>IFERROR(__xludf.DUMMYFUNCTION("COUNTIF(FILTER('SM Repository'!AY:AY, 'SM Repository'!AF:AF = $A254, 'SM Repository'!AY:AY &lt;&gt; """"), ""x"")"),0.0)</f>
        <v>0</v>
      </c>
      <c r="E254" s="61">
        <f>IFERROR(__xludf.DUMMYFUNCTION("COUNTIF(FILTER('SM Repository'!AZ:AZ, 'SM Repository'!AF:AF = $A254, 'SM Repository'!AZ:AZ &lt;&gt; """"), ""x"")"),0.0)</f>
        <v>0</v>
      </c>
      <c r="F254" s="61">
        <f>IFERROR(__xludf.DUMMYFUNCTION("COUNTIF(FILTER('SM Repository'!BA:BA, 'SM Repository'!AF:AF = $A254, 'SM Repository'!BA:BA &lt;&gt; """"), ""x"")"),0.0)</f>
        <v>0</v>
      </c>
      <c r="G254" s="61">
        <f>IFERROR(__xludf.DUMMYFUNCTION("COUNTIF(FILTER('SM Repository'!BB:BB, 'SM Repository'!AF:AF = $A254, 'SM Repository'!BB:BB &lt;&gt; """"), ""x"")"),0.0)</f>
        <v>0</v>
      </c>
      <c r="H254" s="61">
        <f>IFERROR(__xludf.DUMMYFUNCTION("COUNTIF(FILTER('SM Repository'!BC:BC, 'SM Repository'!AF:AF = $A254, 'SM Repository'!BC:BC &lt;&gt; """"), ""x"")"),0.0)</f>
        <v>0</v>
      </c>
    </row>
    <row r="255">
      <c r="A255" s="172">
        <f t="shared" si="6"/>
        <v>2003</v>
      </c>
      <c r="B255" s="61">
        <f>IFERROR(__xludf.DUMMYFUNCTION("COUNTIF(FILTER('SM Repository'!AW:AW, 'SM Repository'!AF:AF = $A255, 'SM Repository'!AW:AW &lt;&gt; """"), ""x"")"),0.0)</f>
        <v>0</v>
      </c>
      <c r="C255" s="61">
        <f>IFERROR(__xludf.DUMMYFUNCTION("COUNTIF(FILTER('SM Repository'!AX:AX, 'SM Repository'!AF:AF = $A255, 'SM Repository'!AX:AX &lt;&gt; """"), ""x"")"),0.0)</f>
        <v>0</v>
      </c>
      <c r="D255" s="61">
        <f>IFERROR(__xludf.DUMMYFUNCTION("COUNTIF(FILTER('SM Repository'!AY:AY, 'SM Repository'!AF:AF = $A255, 'SM Repository'!AY:AY &lt;&gt; """"), ""x"")"),0.0)</f>
        <v>0</v>
      </c>
      <c r="E255" s="61">
        <f>IFERROR(__xludf.DUMMYFUNCTION("COUNTIF(FILTER('SM Repository'!AZ:AZ, 'SM Repository'!AF:AF = $A255, 'SM Repository'!AZ:AZ &lt;&gt; """"), ""x"")"),0.0)</f>
        <v>0</v>
      </c>
      <c r="F255" s="61">
        <f>IFERROR(__xludf.DUMMYFUNCTION("COUNTIF(FILTER('SM Repository'!BA:BA, 'SM Repository'!AF:AF = $A255, 'SM Repository'!BA:BA &lt;&gt; """"), ""x"")"),0.0)</f>
        <v>0</v>
      </c>
      <c r="G255" s="61">
        <f>IFERROR(__xludf.DUMMYFUNCTION("COUNTIF(FILTER('SM Repository'!BB:BB, 'SM Repository'!AF:AF = $A255, 'SM Repository'!BB:BB &lt;&gt; """"), ""x"")"),0.0)</f>
        <v>0</v>
      </c>
      <c r="H255" s="61">
        <f>IFERROR(__xludf.DUMMYFUNCTION("COUNTIF(FILTER('SM Repository'!BC:BC, 'SM Repository'!AF:AF = $A255, 'SM Repository'!BC:BC &lt;&gt; """"), ""x"")"),0.0)</f>
        <v>0</v>
      </c>
    </row>
    <row r="256">
      <c r="A256" s="172">
        <f t="shared" si="6"/>
        <v>2004</v>
      </c>
      <c r="B256" s="61">
        <f>IFERROR(__xludf.DUMMYFUNCTION("COUNTIF(FILTER('SM Repository'!AW:AW, 'SM Repository'!AF:AF = $A256, 'SM Repository'!AW:AW &lt;&gt; """"), ""x"")"),4.0)</f>
        <v>4</v>
      </c>
      <c r="C256" s="61">
        <f>IFERROR(__xludf.DUMMYFUNCTION("COUNTIF(FILTER('SM Repository'!AX:AX, 'SM Repository'!AF:AF = $A256, 'SM Repository'!AX:AX &lt;&gt; """"), ""x"")"),2.0)</f>
        <v>2</v>
      </c>
      <c r="D256" s="61">
        <f>IFERROR(__xludf.DUMMYFUNCTION("COUNTIF(FILTER('SM Repository'!AY:AY, 'SM Repository'!AF:AF = $A256, 'SM Repository'!AY:AY &lt;&gt; """"), ""x"")"),0.0)</f>
        <v>0</v>
      </c>
      <c r="E256" s="61">
        <f>IFERROR(__xludf.DUMMYFUNCTION("COUNTIF(FILTER('SM Repository'!AZ:AZ, 'SM Repository'!AF:AF = $A256, 'SM Repository'!AZ:AZ &lt;&gt; """"), ""x"")"),0.0)</f>
        <v>0</v>
      </c>
      <c r="F256" s="61">
        <f>IFERROR(__xludf.DUMMYFUNCTION("COUNTIF(FILTER('SM Repository'!BA:BA, 'SM Repository'!AF:AF = $A256, 'SM Repository'!BA:BA &lt;&gt; """"), ""x"")"),0.0)</f>
        <v>0</v>
      </c>
      <c r="G256" s="61">
        <f>IFERROR(__xludf.DUMMYFUNCTION("COUNTIF(FILTER('SM Repository'!BB:BB, 'SM Repository'!AF:AF = $A256, 'SM Repository'!BB:BB &lt;&gt; """"), ""x"")"),0.0)</f>
        <v>0</v>
      </c>
      <c r="H256" s="61">
        <f>IFERROR(__xludf.DUMMYFUNCTION("COUNTIF(FILTER('SM Repository'!BC:BC, 'SM Repository'!AF:AF = $A256, 'SM Repository'!BC:BC &lt;&gt; """"), ""x"")"),0.0)</f>
        <v>0</v>
      </c>
    </row>
    <row r="257">
      <c r="A257" s="172">
        <f t="shared" si="6"/>
        <v>2005</v>
      </c>
      <c r="B257" s="61">
        <f>IFERROR(__xludf.DUMMYFUNCTION("COUNTIF(FILTER('SM Repository'!AW:AW, 'SM Repository'!AF:AF = $A257, 'SM Repository'!AW:AW &lt;&gt; """"), ""x"")"),6.0)</f>
        <v>6</v>
      </c>
      <c r="C257" s="61">
        <f>IFERROR(__xludf.DUMMYFUNCTION("COUNTIF(FILTER('SM Repository'!AX:AX, 'SM Repository'!AF:AF = $A257, 'SM Repository'!AX:AX &lt;&gt; """"), ""x"")"),1.0)</f>
        <v>1</v>
      </c>
      <c r="D257" s="61">
        <f>IFERROR(__xludf.DUMMYFUNCTION("COUNTIF(FILTER('SM Repository'!AY:AY, 'SM Repository'!AF:AF = $A257, 'SM Repository'!AY:AY &lt;&gt; """"), ""x"")"),2.0)</f>
        <v>2</v>
      </c>
      <c r="E257" s="61">
        <f>IFERROR(__xludf.DUMMYFUNCTION("COUNTIF(FILTER('SM Repository'!AZ:AZ, 'SM Repository'!AF:AF = $A257, 'SM Repository'!AZ:AZ &lt;&gt; """"), ""x"")"),1.0)</f>
        <v>1</v>
      </c>
      <c r="F257" s="61">
        <f>IFERROR(__xludf.DUMMYFUNCTION("COUNTIF(FILTER('SM Repository'!BA:BA, 'SM Repository'!AF:AF = $A257, 'SM Repository'!BA:BA &lt;&gt; """"), ""x"")"),0.0)</f>
        <v>0</v>
      </c>
      <c r="G257" s="61">
        <f>IFERROR(__xludf.DUMMYFUNCTION("COUNTIF(FILTER('SM Repository'!BB:BB, 'SM Repository'!AF:AF = $A257, 'SM Repository'!BB:BB &lt;&gt; """"), ""x"")"),0.0)</f>
        <v>0</v>
      </c>
      <c r="H257" s="61">
        <f>IFERROR(__xludf.DUMMYFUNCTION("COUNTIF(FILTER('SM Repository'!BC:BC, 'SM Repository'!AF:AF = $A257, 'SM Repository'!BC:BC &lt;&gt; """"), ""x"")"),0.0)</f>
        <v>0</v>
      </c>
    </row>
    <row r="258">
      <c r="A258" s="172">
        <f t="shared" si="6"/>
        <v>2006</v>
      </c>
      <c r="B258" s="61">
        <f>IFERROR(__xludf.DUMMYFUNCTION("COUNTIF(FILTER('SM Repository'!AW:AW, 'SM Repository'!AF:AF = $A258, 'SM Repository'!AW:AW &lt;&gt; """"), ""x"")"),5.0)</f>
        <v>5</v>
      </c>
      <c r="C258" s="61">
        <f>IFERROR(__xludf.DUMMYFUNCTION("COUNTIF(FILTER('SM Repository'!AX:AX, 'SM Repository'!AF:AF = $A258, 'SM Repository'!AX:AX &lt;&gt; """"), ""x"")"),4.0)</f>
        <v>4</v>
      </c>
      <c r="D258" s="61">
        <f>IFERROR(__xludf.DUMMYFUNCTION("COUNTIF(FILTER('SM Repository'!AY:AY, 'SM Repository'!AF:AF = $A258, 'SM Repository'!AY:AY &lt;&gt; """"), ""x"")"),1.0)</f>
        <v>1</v>
      </c>
      <c r="E258" s="61">
        <f>IFERROR(__xludf.DUMMYFUNCTION("COUNTIF(FILTER('SM Repository'!AZ:AZ, 'SM Repository'!AF:AF = $A258, 'SM Repository'!AZ:AZ &lt;&gt; """"), ""x"")"),0.0)</f>
        <v>0</v>
      </c>
      <c r="F258" s="61">
        <f>IFERROR(__xludf.DUMMYFUNCTION("COUNTIF(FILTER('SM Repository'!BA:BA, 'SM Repository'!AF:AF = $A258, 'SM Repository'!BA:BA &lt;&gt; """"), ""x"")"),0.0)</f>
        <v>0</v>
      </c>
      <c r="G258" s="61">
        <f>IFERROR(__xludf.DUMMYFUNCTION("COUNTIF(FILTER('SM Repository'!BB:BB, 'SM Repository'!AF:AF = $A258, 'SM Repository'!BB:BB &lt;&gt; """"), ""x"")"),0.0)</f>
        <v>0</v>
      </c>
      <c r="H258" s="61">
        <f>IFERROR(__xludf.DUMMYFUNCTION("COUNTIF(FILTER('SM Repository'!BC:BC, 'SM Repository'!AF:AF = $A258, 'SM Repository'!BC:BC &lt;&gt; """"), ""x"")"),0.0)</f>
        <v>0</v>
      </c>
    </row>
    <row r="259">
      <c r="A259" s="172">
        <f t="shared" si="6"/>
        <v>2007</v>
      </c>
      <c r="B259" s="61">
        <f>IFERROR(__xludf.DUMMYFUNCTION("COUNTIF(FILTER('SM Repository'!AW:AW, 'SM Repository'!AF:AF = $A259, 'SM Repository'!AW:AW &lt;&gt; """"), ""x"")"),0.0)</f>
        <v>0</v>
      </c>
      <c r="C259" s="61">
        <f>IFERROR(__xludf.DUMMYFUNCTION("COUNTIF(FILTER('SM Repository'!AX:AX, 'SM Repository'!AF:AF = $A259, 'SM Repository'!AX:AX &lt;&gt; """"), ""x"")"),3.0)</f>
        <v>3</v>
      </c>
      <c r="D259" s="61">
        <f>IFERROR(__xludf.DUMMYFUNCTION("COUNTIF(FILTER('SM Repository'!AY:AY, 'SM Repository'!AF:AF = $A259, 'SM Repository'!AY:AY &lt;&gt; """"), ""x"")"),0.0)</f>
        <v>0</v>
      </c>
      <c r="E259" s="61">
        <f>IFERROR(__xludf.DUMMYFUNCTION("COUNTIF(FILTER('SM Repository'!AZ:AZ, 'SM Repository'!AF:AF = $A259, 'SM Repository'!AZ:AZ &lt;&gt; """"), ""x"")"),0.0)</f>
        <v>0</v>
      </c>
      <c r="F259" s="61">
        <f>IFERROR(__xludf.DUMMYFUNCTION("COUNTIF(FILTER('SM Repository'!BA:BA, 'SM Repository'!AF:AF = $A259, 'SM Repository'!BA:BA &lt;&gt; """"), ""x"")"),0.0)</f>
        <v>0</v>
      </c>
      <c r="G259" s="61">
        <f>IFERROR(__xludf.DUMMYFUNCTION("COUNTIF(FILTER('SM Repository'!BB:BB, 'SM Repository'!AF:AF = $A259, 'SM Repository'!BB:BB &lt;&gt; """"), ""x"")"),0.0)</f>
        <v>0</v>
      </c>
      <c r="H259" s="61">
        <f>IFERROR(__xludf.DUMMYFUNCTION("COUNTIF(FILTER('SM Repository'!BC:BC, 'SM Repository'!AF:AF = $A259, 'SM Repository'!BC:BC &lt;&gt; """"), ""x"")"),0.0)</f>
        <v>0</v>
      </c>
    </row>
    <row r="260">
      <c r="A260" s="172">
        <f t="shared" si="6"/>
        <v>2008</v>
      </c>
      <c r="B260" s="61">
        <f>IFERROR(__xludf.DUMMYFUNCTION("COUNTIF(FILTER('SM Repository'!AW:AW, 'SM Repository'!AF:AF = $A260, 'SM Repository'!AW:AW &lt;&gt; """"), ""x"")"),3.0)</f>
        <v>3</v>
      </c>
      <c r="C260" s="61">
        <f>IFERROR(__xludf.DUMMYFUNCTION("COUNTIF(FILTER('SM Repository'!AX:AX, 'SM Repository'!AF:AF = $A260, 'SM Repository'!AX:AX &lt;&gt; """"), ""x"")"),8.0)</f>
        <v>8</v>
      </c>
      <c r="D260" s="61">
        <f>IFERROR(__xludf.DUMMYFUNCTION("COUNTIF(FILTER('SM Repository'!AY:AY, 'SM Repository'!AF:AF = $A260, 'SM Repository'!AY:AY &lt;&gt; """"), ""x"")"),2.0)</f>
        <v>2</v>
      </c>
      <c r="E260" s="61">
        <f>IFERROR(__xludf.DUMMYFUNCTION("COUNTIF(FILTER('SM Repository'!AZ:AZ, 'SM Repository'!AF:AF = $A260, 'SM Repository'!AZ:AZ &lt;&gt; """"), ""x"")"),0.0)</f>
        <v>0</v>
      </c>
      <c r="F260" s="61">
        <f>IFERROR(__xludf.DUMMYFUNCTION("COUNTIF(FILTER('SM Repository'!BA:BA, 'SM Repository'!AF:AF = $A260, 'SM Repository'!BA:BA &lt;&gt; """"), ""x"")"),0.0)</f>
        <v>0</v>
      </c>
      <c r="G260" s="61">
        <f>IFERROR(__xludf.DUMMYFUNCTION("COUNTIF(FILTER('SM Repository'!BB:BB, 'SM Repository'!AF:AF = $A260, 'SM Repository'!BB:BB &lt;&gt; """"), ""x"")"),0.0)</f>
        <v>0</v>
      </c>
      <c r="H260" s="61">
        <f>IFERROR(__xludf.DUMMYFUNCTION("COUNTIF(FILTER('SM Repository'!BC:BC, 'SM Repository'!AF:AF = $A260, 'SM Repository'!BC:BC &lt;&gt; """"), ""x"")"),0.0)</f>
        <v>0</v>
      </c>
    </row>
    <row r="261">
      <c r="A261" s="172">
        <f t="shared" si="6"/>
        <v>2009</v>
      </c>
      <c r="B261" s="61">
        <f>IFERROR(__xludf.DUMMYFUNCTION("COUNTIF(FILTER('SM Repository'!AW:AW, 'SM Repository'!AF:AF = $A261, 'SM Repository'!AW:AW &lt;&gt; """"), ""x"")"),1.0)</f>
        <v>1</v>
      </c>
      <c r="C261" s="61">
        <f>IFERROR(__xludf.DUMMYFUNCTION("COUNTIF(FILTER('SM Repository'!AX:AX, 'SM Repository'!AF:AF = $A261, 'SM Repository'!AX:AX &lt;&gt; """"), ""x"")"),5.0)</f>
        <v>5</v>
      </c>
      <c r="D261" s="61">
        <f>IFERROR(__xludf.DUMMYFUNCTION("COUNTIF(FILTER('SM Repository'!AY:AY, 'SM Repository'!AF:AF = $A261, 'SM Repository'!AY:AY &lt;&gt; """"), ""x"")"),1.0)</f>
        <v>1</v>
      </c>
      <c r="E261" s="61">
        <f>IFERROR(__xludf.DUMMYFUNCTION("COUNTIF(FILTER('SM Repository'!AZ:AZ, 'SM Repository'!AF:AF = $A261, 'SM Repository'!AZ:AZ &lt;&gt; """"), ""x"")"),0.0)</f>
        <v>0</v>
      </c>
      <c r="F261" s="61">
        <f>IFERROR(__xludf.DUMMYFUNCTION("COUNTIF(FILTER('SM Repository'!BA:BA, 'SM Repository'!AF:AF = $A261, 'SM Repository'!BA:BA &lt;&gt; """"), ""x"")"),0.0)</f>
        <v>0</v>
      </c>
      <c r="G261" s="61">
        <f>IFERROR(__xludf.DUMMYFUNCTION("COUNTIF(FILTER('SM Repository'!BB:BB, 'SM Repository'!AF:AF = $A261, 'SM Repository'!BB:BB &lt;&gt; """"), ""x"")"),0.0)</f>
        <v>0</v>
      </c>
      <c r="H261" s="61">
        <f>IFERROR(__xludf.DUMMYFUNCTION("COUNTIF(FILTER('SM Repository'!BC:BC, 'SM Repository'!AF:AF = $A261, 'SM Repository'!BC:BC &lt;&gt; """"), ""x"")"),0.0)</f>
        <v>0</v>
      </c>
    </row>
    <row r="262">
      <c r="A262" s="172">
        <f t="shared" si="6"/>
        <v>2010</v>
      </c>
      <c r="B262" s="61">
        <f>IFERROR(__xludf.DUMMYFUNCTION("COUNTIF(FILTER('SM Repository'!AW:AW, 'SM Repository'!AF:AF = $A262, 'SM Repository'!AW:AW &lt;&gt; """"), ""x"")"),4.0)</f>
        <v>4</v>
      </c>
      <c r="C262" s="61">
        <f>IFERROR(__xludf.DUMMYFUNCTION("COUNTIF(FILTER('SM Repository'!AX:AX, 'SM Repository'!AF:AF = $A262, 'SM Repository'!AX:AX &lt;&gt; """"), ""x"")"),8.0)</f>
        <v>8</v>
      </c>
      <c r="D262" s="61">
        <f>IFERROR(__xludf.DUMMYFUNCTION("COUNTIF(FILTER('SM Repository'!AY:AY, 'SM Repository'!AF:AF = $A262, 'SM Repository'!AY:AY &lt;&gt; """"), ""x"")"),2.0)</f>
        <v>2</v>
      </c>
      <c r="E262" s="61">
        <f>IFERROR(__xludf.DUMMYFUNCTION("COUNTIF(FILTER('SM Repository'!AZ:AZ, 'SM Repository'!AF:AF = $A262, 'SM Repository'!AZ:AZ &lt;&gt; """"), ""x"")"),0.0)</f>
        <v>0</v>
      </c>
      <c r="F262" s="61">
        <f>IFERROR(__xludf.DUMMYFUNCTION("COUNTIF(FILTER('SM Repository'!BA:BA, 'SM Repository'!AF:AF = $A262, 'SM Repository'!BA:BA &lt;&gt; """"), ""x"")"),0.0)</f>
        <v>0</v>
      </c>
      <c r="G262" s="61">
        <f>IFERROR(__xludf.DUMMYFUNCTION("COUNTIF(FILTER('SM Repository'!BB:BB, 'SM Repository'!AF:AF = $A262, 'SM Repository'!BB:BB &lt;&gt; """"), ""x"")"),0.0)</f>
        <v>0</v>
      </c>
      <c r="H262" s="61">
        <f>IFERROR(__xludf.DUMMYFUNCTION("COUNTIF(FILTER('SM Repository'!BC:BC, 'SM Repository'!AF:AF = $A262, 'SM Repository'!BC:BC &lt;&gt; """"), ""x"")"),0.0)</f>
        <v>0</v>
      </c>
    </row>
    <row r="263">
      <c r="A263" s="172">
        <f t="shared" si="6"/>
        <v>2011</v>
      </c>
      <c r="B263" s="61">
        <f>IFERROR(__xludf.DUMMYFUNCTION("COUNTIF(FILTER('SM Repository'!AW:AW, 'SM Repository'!AF:AF = $A263, 'SM Repository'!AW:AW &lt;&gt; """"), ""x"")"),0.0)</f>
        <v>0</v>
      </c>
      <c r="C263" s="61">
        <f>IFERROR(__xludf.DUMMYFUNCTION("COUNTIF(FILTER('SM Repository'!AX:AX, 'SM Repository'!AF:AF = $A263, 'SM Repository'!AX:AX &lt;&gt; """"), ""x"")"),7.0)</f>
        <v>7</v>
      </c>
      <c r="D263" s="61">
        <f>IFERROR(__xludf.DUMMYFUNCTION("COUNTIF(FILTER('SM Repository'!AY:AY, 'SM Repository'!AF:AF = $A263, 'SM Repository'!AY:AY &lt;&gt; """"), ""x"")"),2.0)</f>
        <v>2</v>
      </c>
      <c r="E263" s="61">
        <f>IFERROR(__xludf.DUMMYFUNCTION("COUNTIF(FILTER('SM Repository'!AZ:AZ, 'SM Repository'!AF:AF = $A263, 'SM Repository'!AZ:AZ &lt;&gt; """"), ""x"")"),0.0)</f>
        <v>0</v>
      </c>
      <c r="F263" s="61">
        <f>IFERROR(__xludf.DUMMYFUNCTION("COUNTIF(FILTER('SM Repository'!BA:BA, 'SM Repository'!AF:AF = $A263, 'SM Repository'!BA:BA &lt;&gt; """"), ""x"")"),0.0)</f>
        <v>0</v>
      </c>
      <c r="G263" s="61">
        <f>IFERROR(__xludf.DUMMYFUNCTION("COUNTIF(FILTER('SM Repository'!BB:BB, 'SM Repository'!AF:AF = $A263, 'SM Repository'!BB:BB &lt;&gt; """"), ""x"")"),0.0)</f>
        <v>0</v>
      </c>
      <c r="H263" s="61">
        <f>IFERROR(__xludf.DUMMYFUNCTION("COUNTIF(FILTER('SM Repository'!BC:BC, 'SM Repository'!AF:AF = $A263, 'SM Repository'!BC:BC &lt;&gt; """"), ""x"")"),0.0)</f>
        <v>0</v>
      </c>
    </row>
    <row r="264">
      <c r="A264" s="193" t="s">
        <v>1262</v>
      </c>
    </row>
    <row r="288">
      <c r="A288" s="40" t="s">
        <v>1283</v>
      </c>
    </row>
    <row r="289">
      <c r="B289" s="193" t="s">
        <v>1269</v>
      </c>
      <c r="C289" s="193" t="s">
        <v>1270</v>
      </c>
      <c r="D289" s="193" t="s">
        <v>1271</v>
      </c>
      <c r="E289" s="193" t="s">
        <v>90</v>
      </c>
      <c r="F289" s="193" t="s">
        <v>91</v>
      </c>
      <c r="G289" s="195" t="s">
        <v>85</v>
      </c>
    </row>
    <row r="290">
      <c r="A290" s="80" t="s">
        <v>1276</v>
      </c>
      <c r="B290" s="183">
        <f>IFERROR(__xludf.DUMMYFUNCTION("COUNTIF(FILTER('SM Repository'!$AW$3:$AW$138, 'SM Repository'!AP$3:AP$138 = ""X"", 'SM Repository'!$AW$3:$AW$138 = ""X""), ""X"")"),23.0)</f>
        <v>23</v>
      </c>
      <c r="C290" s="183">
        <f>IFERROR(__xludf.DUMMYFUNCTION("COUNTIF(FILTER('SM Repository'!$AW$3:$AW$138, 'SM Repository'!AQ$3:AQ$138 = ""X"", 'SM Repository'!$AW$3:$AW$138 = ""X""), ""X"")"),12.0)</f>
        <v>12</v>
      </c>
      <c r="D290" s="183">
        <f>IFERROR(__xludf.DUMMYFUNCTION("COUNTIF(FILTER('SM Repository'!$AW$3:$AW$138, 'SM Repository'!AR$3:AR$138 = ""X"", 'SM Repository'!$AW$3:$AW$138 = ""X""), ""X"")"),14.0)</f>
        <v>14</v>
      </c>
      <c r="E290" s="183">
        <f>IFERROR(__xludf.DUMMYFUNCTION("COUNTIF(FILTER('SM Repository'!$AW$3:$AW$138, 'SM Repository'!AS$3:AS$138 = ""X"", 'SM Repository'!$AW$3:$AW$138 = ""X""), ""X"")"),2.0)</f>
        <v>2</v>
      </c>
      <c r="F290" s="183">
        <f>IFERROR(__xludf.DUMMYFUNCTION("COUNTIF(FILTER('SM Repository'!$AW$3:$AW$138, 'SM Repository'!AT$3:AT$138 = ""X"", 'SM Repository'!$AW$3:$AW$138 = ""X""), ""X"")"),3.0)</f>
        <v>3</v>
      </c>
      <c r="G290" s="183">
        <f>IFERROR(__xludf.DUMMYFUNCTION("COUNTIF(FILTER('SM Repository'!$AW$3:$AW$138, 'SM Repository'!AU$3:AU$138 = ""X"", 'SM Repository'!$AW$3:$AW$138 = ""X""), ""X"")"),1.0)</f>
        <v>1</v>
      </c>
      <c r="H290" s="61">
        <f t="shared" ref="H290:H295" si="7">sum(B290:G290)</f>
        <v>55</v>
      </c>
    </row>
    <row r="291">
      <c r="A291" s="80" t="s">
        <v>1281</v>
      </c>
      <c r="B291" s="183">
        <f>IFERROR(__xludf.DUMMYFUNCTION("COUNTIF(FILTER('SM Repository'!$AX$3:$AX$138, 'SM Repository'!AP$3:AP$138 = ""X"", 'SM Repository'!$AX$3:$AX$138 = ""X""), ""X"")"),28.0)</f>
        <v>28</v>
      </c>
      <c r="C291" s="183">
        <f>IFERROR(__xludf.DUMMYFUNCTION("COUNTIF(FILTER('SM Repository'!$AX$3:$AX$138, 'SM Repository'!AQ$3:AQ$138 = ""X"", 'SM Repository'!$AX$3:$AX$138 = ""X""), ""X"")"),26.0)</f>
        <v>26</v>
      </c>
      <c r="D291" s="183">
        <f>IFERROR(__xludf.DUMMYFUNCTION("COUNTIF(FILTER('SM Repository'!$AX$3:$AX$138, 'SM Repository'!AR$3:AR$138 = ""X"", 'SM Repository'!$AX$3:$AX$138 = ""X""), ""X"")"),13.0)</f>
        <v>13</v>
      </c>
      <c r="E291" s="183">
        <f>IFERROR(__xludf.DUMMYFUNCTION("COUNTIF(FILTER('SM Repository'!$AX$3:$AX$138, 'SM Repository'!AS$3:AS$138 = ""X"", 'SM Repository'!$AX$3:$AX$138 = ""X""), ""X"")"),6.0)</f>
        <v>6</v>
      </c>
      <c r="F291" s="183">
        <f>IFERROR(__xludf.DUMMYFUNCTION("COUNTIF(FILTER('SM Repository'!$AX$3:$AX$138, 'SM Repository'!AT$3:AT$138 = ""X"", 'SM Repository'!$AX$3:$AX$138 = ""X""), ""X"")"),3.0)</f>
        <v>3</v>
      </c>
      <c r="G291" s="183">
        <f>IFERROR(__xludf.DUMMYFUNCTION("COUNTIF(FILTER('SM Repository'!$AX$3:$AX$138, 'SM Repository'!AU$3:AU$138 = ""X"", 'SM Repository'!$AX$3:$AX$138 = ""X""), ""X"")"),5.0)</f>
        <v>5</v>
      </c>
      <c r="H291" s="61">
        <f t="shared" si="7"/>
        <v>81</v>
      </c>
    </row>
    <row r="292">
      <c r="A292" s="80" t="s">
        <v>1282</v>
      </c>
      <c r="B292" s="183">
        <f>IFERROR(__xludf.DUMMYFUNCTION("COUNTIF(FILTER('SM Repository'!$AY$3:$AY$138, 'SM Repository'!AP$3:AP$138 = ""X"", 'SM Repository'!$AY$3:$AY$138 = ""X""), ""X"")"),5.0)</f>
        <v>5</v>
      </c>
      <c r="C292" s="183">
        <f>IFERROR(__xludf.DUMMYFUNCTION("COUNTIF(FILTER('SM Repository'!$AY$3:$AY$138, 'SM Repository'!AQ$3:AQ$138 = ""X"", 'SM Repository'!$AY$3:$AY$138 = ""X""), ""X"")"),3.0)</f>
        <v>3</v>
      </c>
      <c r="D292" s="183">
        <f>IFERROR(__xludf.DUMMYFUNCTION("COUNTIF(FILTER('SM Repository'!$AY$3:$AY$138, 'SM Repository'!AR$3:AR$138 = ""X"", 'SM Repository'!$AY$3:$AY$138 = ""X""), ""X"")"),3.0)</f>
        <v>3</v>
      </c>
      <c r="E292" s="183">
        <f>IFERROR(__xludf.DUMMYFUNCTION("COUNTIF(FILTER('SM Repository'!$AY$3:$AY$138, 'SM Repository'!AS$3:AS$138 = ""X"", 'SM Repository'!$AY$3:$AY$138 = ""X""), ""X"")"),1.0)</f>
        <v>1</v>
      </c>
      <c r="F292" s="183">
        <f>IFERROR(__xludf.DUMMYFUNCTION("COUNTIF(FILTER('SM Repository'!$AY$3:$AY$138, 'SM Repository'!AT$3:AT$138 = ""X"", 'SM Repository'!$AY$3:$AY$138 = ""X""), ""X"")"),0.0)</f>
        <v>0</v>
      </c>
      <c r="G292" s="183">
        <f>IFERROR(__xludf.DUMMYFUNCTION("COUNTIF(FILTER('SM Repository'!$AY$3:$AY$138, 'SM Repository'!AU$3:AU$138 = ""X"", 'SM Repository'!$AY$3:$AY$138 = ""X""), ""X"")"),5.0)</f>
        <v>5</v>
      </c>
      <c r="H292" s="61">
        <f t="shared" si="7"/>
        <v>17</v>
      </c>
    </row>
    <row r="293">
      <c r="A293" s="80" t="s">
        <v>99</v>
      </c>
      <c r="B293" s="183">
        <f>IFERROR(__xludf.DUMMYFUNCTION("COUNTIF(FILTER('SM Repository'!$AZ$3:$AZ$138, 'SM Repository'!AP$3:AP$138 = ""X"", 'SM Repository'!$AZ$3:$AZ$138 = ""X""), ""X"")"),1.0)</f>
        <v>1</v>
      </c>
      <c r="C293" s="183">
        <f>IFERROR(__xludf.DUMMYFUNCTION("COUNTIF(FILTER('SM Repository'!$AZ$3:$AZ$138, 'SM Repository'!AQ$3:AQ$138 = ""X"", 'SM Repository'!$AZ$3:$AZ$138 = ""X""), ""X"")"),0.0)</f>
        <v>0</v>
      </c>
      <c r="D293" s="183">
        <f>IFERROR(__xludf.DUMMYFUNCTION("COUNTIF(FILTER('SM Repository'!$AZ$3:$AZ$138, 'SM Repository'!AR$3:AR$138 = ""X"", 'SM Repository'!$AZ$3:$AZ$138 = ""X""), ""X"")"),0.0)</f>
        <v>0</v>
      </c>
      <c r="E293" s="183">
        <f>IFERROR(__xludf.DUMMYFUNCTION("COUNTIF(FILTER('SM Repository'!$AZ$3:$AZ$138, 'SM Repository'!AS$3:AS$138 = ""X"", 'SM Repository'!$AZ$3:$AZ$138 = ""X""), ""X"")"),0.0)</f>
        <v>0</v>
      </c>
      <c r="F293" s="183">
        <f>IFERROR(__xludf.DUMMYFUNCTION("COUNTIF(FILTER('SM Repository'!$AZ$3:$AZ$138, 'SM Repository'!AT$3:AT$138 = ""X"", 'SM Repository'!$AZ$3:$AZ$138 = ""X""), ""X"")"),0.0)</f>
        <v>0</v>
      </c>
      <c r="G293" s="183">
        <f>IFERROR(__xludf.DUMMYFUNCTION("COUNTIF(FILTER('SM Repository'!$AZ$3:$AZ$138, 'SM Repository'!AU$3:AU$138 = ""X"", 'SM Repository'!$AZ$3:$AZ$138 = ""X""), ""X"")"),0.0)</f>
        <v>0</v>
      </c>
      <c r="H293" s="61">
        <f t="shared" si="7"/>
        <v>1</v>
      </c>
    </row>
    <row r="294">
      <c r="A294" s="80" t="s">
        <v>1284</v>
      </c>
      <c r="B294" s="183">
        <f>IFERROR(__xludf.DUMMYFUNCTION("COUNTIF(FILTER('SM Repository'!$BA$3:$BA$138, 'SM Repository'!AP$3:AP$138 = ""X"", 'SM Repository'!$BA$3:$BA$138 = ""X""), ""X"")"),0.0)</f>
        <v>0</v>
      </c>
      <c r="C294" s="183">
        <f>IFERROR(__xludf.DUMMYFUNCTION("COUNTIF(FILTER('SM Repository'!$BA$3:$BA$138, 'SM Repository'!AQ$3:AQ$138 = ""X"", 'SM Repository'!$BA$3:$BA$138 = ""X""), ""X"")"),0.0)</f>
        <v>0</v>
      </c>
      <c r="D294" s="183">
        <f>IFERROR(__xludf.DUMMYFUNCTION("COUNTIF(FILTER('SM Repository'!$BA$3:$BA$138, 'SM Repository'!AR$3:AR$138 = ""X"", 'SM Repository'!$BA$3:$BA$138 = ""X""), ""X"")"),0.0)</f>
        <v>0</v>
      </c>
      <c r="E294" s="183">
        <f>IFERROR(__xludf.DUMMYFUNCTION("COUNTIF(FILTER('SM Repository'!$BA$3:$BA$138, 'SM Repository'!AS$3:AS$138 = ""X"", 'SM Repository'!$BA$3:$BA$138 = ""X""), ""X"")"),0.0)</f>
        <v>0</v>
      </c>
      <c r="F294" s="183">
        <f>IFERROR(__xludf.DUMMYFUNCTION("COUNTIF(FILTER('SM Repository'!$BA$3:$BA$138, 'SM Repository'!AT$3:AT$138 = ""X"", 'SM Repository'!$BA$3:$BA$138 = ""X""), ""X"")"),0.0)</f>
        <v>0</v>
      </c>
      <c r="G294" s="183">
        <f>IFERROR(__xludf.DUMMYFUNCTION("COUNTIF(FILTER('SM Repository'!$BA$3:$BA$138, 'SM Repository'!AU$3:AU$138 = ""X"", 'SM Repository'!$BA$3:$BA$138 = ""X""), ""X"")"),0.0)</f>
        <v>0</v>
      </c>
      <c r="H294" s="61">
        <f t="shared" si="7"/>
        <v>0</v>
      </c>
    </row>
    <row r="295">
      <c r="A295" s="80" t="s">
        <v>101</v>
      </c>
      <c r="B295" s="183">
        <f>IFERROR(__xludf.DUMMYFUNCTION("COUNTIF(FILTER('SM Repository'!$BB$3:$BB$138, 'SM Repository'!AP$3:AP$138 = ""X"", 'SM Repository'!$BB$3:$BB$138 = ""X""), ""X"")"),0.0)</f>
        <v>0</v>
      </c>
      <c r="C295" s="183">
        <f>IFERROR(__xludf.DUMMYFUNCTION("COUNTIF(FILTER('SM Repository'!$BB$3:$BB$138, 'SM Repository'!AQ$3:AQ$138 = ""X"", 'SM Repository'!$BB$3:$BB$138 = ""X""), ""X"")"),0.0)</f>
        <v>0</v>
      </c>
      <c r="D295" s="183">
        <f>IFERROR(__xludf.DUMMYFUNCTION("COUNTIF(FILTER('SM Repository'!$BB$3:$BB$138, 'SM Repository'!AR$3:AR$138 = ""X"", 'SM Repository'!$BB$3:$BB$138 = ""X""), ""X"")"),0.0)</f>
        <v>0</v>
      </c>
      <c r="E295" s="183">
        <f>IFERROR(__xludf.DUMMYFUNCTION("COUNTIF(FILTER('SM Repository'!$BB$3:$BB$138, 'SM Repository'!AS$3:AS$138 = ""X"", 'SM Repository'!$BB$3:$BB$138 = ""X""), ""X"")"),0.0)</f>
        <v>0</v>
      </c>
      <c r="F295" s="183">
        <f>IFERROR(__xludf.DUMMYFUNCTION("COUNTIF(FILTER('SM Repository'!$BB$3:$BB$138, 'SM Repository'!AT$3:AT$138 = ""X"", 'SM Repository'!$BB$3:$BB$138 = ""X""), ""X"")"),0.0)</f>
        <v>0</v>
      </c>
      <c r="G295" s="183">
        <f>IFERROR(__xludf.DUMMYFUNCTION("COUNTIF(FILTER('SM Repository'!$BB$3:$BB$138, 'SM Repository'!AU$3:AU$138 = ""X"", 'SM Repository'!$BB$3:$BB$138 = ""X""), ""X"")"),0.0)</f>
        <v>0</v>
      </c>
      <c r="H295" s="61">
        <f t="shared" si="7"/>
        <v>0</v>
      </c>
    </row>
    <row r="296">
      <c r="A296" s="80" t="s">
        <v>85</v>
      </c>
      <c r="B296" s="80">
        <v>0.0</v>
      </c>
      <c r="C296" s="80">
        <v>0.0</v>
      </c>
      <c r="D296" s="80">
        <v>0.0</v>
      </c>
      <c r="E296" s="80">
        <v>0.0</v>
      </c>
      <c r="F296" s="80">
        <v>0.0</v>
      </c>
      <c r="G296" s="80">
        <v>0.0</v>
      </c>
    </row>
    <row r="297">
      <c r="B297" s="61">
        <f t="shared" ref="B297:G297" si="8">sum(B290:B295)</f>
        <v>57</v>
      </c>
      <c r="C297" s="61">
        <f t="shared" si="8"/>
        <v>41</v>
      </c>
      <c r="D297" s="61">
        <f t="shared" si="8"/>
        <v>30</v>
      </c>
      <c r="E297" s="61">
        <f t="shared" si="8"/>
        <v>9</v>
      </c>
      <c r="F297" s="61">
        <f t="shared" si="8"/>
        <v>6</v>
      </c>
      <c r="G297" s="61">
        <f t="shared" si="8"/>
        <v>11</v>
      </c>
    </row>
    <row r="298">
      <c r="B298" s="61">
        <f>'SM Repository'!AP82</f>
        <v>57</v>
      </c>
      <c r="C298" s="61">
        <f>'SM Repository'!AQ82</f>
        <v>41</v>
      </c>
      <c r="D298" s="61">
        <f>'SM Repository'!AR82</f>
        <v>30</v>
      </c>
      <c r="E298" s="61">
        <f>'SM Repository'!AS82</f>
        <v>9</v>
      </c>
      <c r="F298" s="61">
        <f>'SM Repository'!AT82</f>
        <v>6</v>
      </c>
      <c r="G298" s="61">
        <f>'SM Repository'!AU82</f>
        <v>11</v>
      </c>
    </row>
    <row r="312">
      <c r="A312" s="24" t="s">
        <v>1285</v>
      </c>
    </row>
    <row r="313">
      <c r="A313" s="88" t="s">
        <v>102</v>
      </c>
      <c r="B313" s="183">
        <f>countif('SM Repository'!BD:BD, "x")</f>
        <v>61</v>
      </c>
    </row>
    <row r="314">
      <c r="A314" s="88" t="s">
        <v>103</v>
      </c>
      <c r="B314" s="183">
        <f>countif('SM Repository'!BE:BE, "x")</f>
        <v>18</v>
      </c>
    </row>
    <row r="315">
      <c r="A315" s="88" t="s">
        <v>104</v>
      </c>
      <c r="B315" s="183">
        <f>countif('SM Repository'!BF:BF, "x")</f>
        <v>21</v>
      </c>
    </row>
    <row r="334">
      <c r="A334" s="25" t="s">
        <v>1286</v>
      </c>
    </row>
    <row r="335">
      <c r="A335" s="199" t="s">
        <v>1287</v>
      </c>
      <c r="B335" s="183">
        <f>countif('SM Repository'!BG:BG, "x")</f>
        <v>50</v>
      </c>
    </row>
    <row r="336">
      <c r="A336" s="199" t="s">
        <v>1622</v>
      </c>
      <c r="B336" s="183">
        <f>countif('SM Repository'!BH:BH, "x")</f>
        <v>3</v>
      </c>
    </row>
    <row r="337">
      <c r="A337" s="199" t="s">
        <v>107</v>
      </c>
      <c r="B337" s="183">
        <f>countif('SM Repository'!BI:BI, "x")</f>
        <v>27</v>
      </c>
    </row>
    <row r="338">
      <c r="A338" s="199" t="s">
        <v>108</v>
      </c>
      <c r="B338" s="183">
        <f>countif('SM Repository'!BJ:BJ, "x")</f>
        <v>26</v>
      </c>
    </row>
    <row r="339">
      <c r="A339" s="199" t="s">
        <v>1289</v>
      </c>
      <c r="B339" s="183">
        <f>countif('SM Repository'!BK:BK, "x")</f>
        <v>13</v>
      </c>
    </row>
    <row r="340">
      <c r="A340" s="199" t="s">
        <v>85</v>
      </c>
      <c r="B340" s="183">
        <f>countif('SM Repository'!BL:BL, "x")</f>
        <v>15</v>
      </c>
    </row>
    <row r="357">
      <c r="A357" s="18" t="s">
        <v>1290</v>
      </c>
    </row>
    <row r="358">
      <c r="A358" s="87" t="s">
        <v>112</v>
      </c>
      <c r="B358" s="183">
        <f>countif('SM Repository'!BM:BM, "x")</f>
        <v>22</v>
      </c>
    </row>
    <row r="359">
      <c r="A359" s="87" t="s">
        <v>113</v>
      </c>
      <c r="B359" s="183">
        <f>countif('SM Repository'!BN:BN, "x")</f>
        <v>41</v>
      </c>
    </row>
    <row r="360">
      <c r="A360" s="87" t="s">
        <v>114</v>
      </c>
      <c r="B360" s="183">
        <f>countif('SM Repository'!BO:BO, "x")</f>
        <v>14</v>
      </c>
    </row>
    <row r="385">
      <c r="A385" s="178"/>
      <c r="B385" s="87" t="s">
        <v>112</v>
      </c>
      <c r="C385" s="87" t="s">
        <v>113</v>
      </c>
      <c r="D385" s="87" t="s">
        <v>114</v>
      </c>
    </row>
    <row r="386">
      <c r="A386" s="171">
        <v>2001.0</v>
      </c>
      <c r="B386" s="61">
        <f>IFERROR(__xludf.DUMMYFUNCTION("COUNTIF(FILTER('SM Repository'!BM:BM, 'SM Repository'!AF:AF = $A386, 'SM Repository'!BM:BM &lt;&gt; """"), ""x"")"),2.0)</f>
        <v>2</v>
      </c>
      <c r="C386" s="61">
        <f>IFERROR(__xludf.DUMMYFUNCTION("COUNTIF(FILTER('SM Repository'!BN:BN, 'SM Repository'!AF:AF = $A386, 'SM Repository'!BN:BN &lt;&gt; """"), ""x"")"),0.0)</f>
        <v>0</v>
      </c>
      <c r="D386" s="61">
        <f>IFERROR(__xludf.DUMMYFUNCTION("COUNTIF(FILTER('SM Repository'!BO:BO, 'SM Repository'!AF:AF = $A386, 'SM Repository'!BO:BO &lt;&gt; """"), ""x"")"),0.0)</f>
        <v>0</v>
      </c>
    </row>
    <row r="387">
      <c r="A387" s="172">
        <f t="shared" ref="A387:A396" si="9">A386+1</f>
        <v>2002</v>
      </c>
      <c r="B387" s="61">
        <f>IFERROR(__xludf.DUMMYFUNCTION("COUNTIF(FILTER('SM Repository'!BM:BM, 'SM Repository'!AF:AF = $A387, 'SM Repository'!BM:BM &lt;&gt; """"), ""x"")"),1.0)</f>
        <v>1</v>
      </c>
      <c r="C387" s="61">
        <f>IFERROR(__xludf.DUMMYFUNCTION("COUNTIF(FILTER('SM Repository'!BN:BN, 'SM Repository'!AF:AF = $A387, 'SM Repository'!BN:BN &lt;&gt; """"), ""x"")"),1.0)</f>
        <v>1</v>
      </c>
      <c r="D387" s="61">
        <f>IFERROR(__xludf.DUMMYFUNCTION("COUNTIF(FILTER('SM Repository'!BO:BO, 'SM Repository'!AF:AF = $A387, 'SM Repository'!BO:BO &lt;&gt; """"), ""x"")"),3.0)</f>
        <v>3</v>
      </c>
    </row>
    <row r="388">
      <c r="A388" s="172">
        <f t="shared" si="9"/>
        <v>2003</v>
      </c>
      <c r="B388" s="61">
        <f>IFERROR(__xludf.DUMMYFUNCTION("COUNTIF(FILTER('SM Repository'!BM:BM, 'SM Repository'!AF:AF = $A388, 'SM Repository'!BM:BM &lt;&gt; """"), ""x"")"),0.0)</f>
        <v>0</v>
      </c>
      <c r="C388" s="61">
        <f>IFERROR(__xludf.DUMMYFUNCTION("COUNTIF(FILTER('SM Repository'!BN:BN, 'SM Repository'!AF:AF = $A388, 'SM Repository'!BN:BN &lt;&gt; """"), ""x"")"),0.0)</f>
        <v>0</v>
      </c>
      <c r="D388" s="61">
        <f>IFERROR(__xludf.DUMMYFUNCTION("COUNTIF(FILTER('SM Repository'!BO:BO, 'SM Repository'!AF:AF = $A388, 'SM Repository'!BO:BO &lt;&gt; """"), ""x"")"),0.0)</f>
        <v>0</v>
      </c>
    </row>
    <row r="389">
      <c r="A389" s="172">
        <f t="shared" si="9"/>
        <v>2004</v>
      </c>
      <c r="B389" s="61">
        <f>IFERROR(__xludf.DUMMYFUNCTION("COUNTIF(FILTER('SM Repository'!BM:BM, 'SM Repository'!AF:AF = $A389, 'SM Repository'!BM:BM &lt;&gt; """"), ""x"")"),0.0)</f>
        <v>0</v>
      </c>
      <c r="C389" s="61">
        <f>IFERROR(__xludf.DUMMYFUNCTION("COUNTIF(FILTER('SM Repository'!BN:BN, 'SM Repository'!AF:AF = $A389, 'SM Repository'!BN:BN &lt;&gt; """"), ""x"")"),5.0)</f>
        <v>5</v>
      </c>
      <c r="D389" s="61">
        <f>IFERROR(__xludf.DUMMYFUNCTION("COUNTIF(FILTER('SM Repository'!BO:BO, 'SM Repository'!AF:AF = $A389, 'SM Repository'!BO:BO &lt;&gt; """"), ""x"")"),1.0)</f>
        <v>1</v>
      </c>
    </row>
    <row r="390">
      <c r="A390" s="172">
        <f t="shared" si="9"/>
        <v>2005</v>
      </c>
      <c r="B390" s="61">
        <f>IFERROR(__xludf.DUMMYFUNCTION("COUNTIF(FILTER('SM Repository'!BM:BM, 'SM Repository'!AF:AF = $A390, 'SM Repository'!BM:BM &lt;&gt; """"), ""x"")"),1.0)</f>
        <v>1</v>
      </c>
      <c r="C390" s="61">
        <f>IFERROR(__xludf.DUMMYFUNCTION("COUNTIF(FILTER('SM Repository'!BN:BN, 'SM Repository'!AF:AF = $A390, 'SM Repository'!BN:BN &lt;&gt; """"), ""x"")"),7.0)</f>
        <v>7</v>
      </c>
      <c r="D390" s="61">
        <f>IFERROR(__xludf.DUMMYFUNCTION("COUNTIF(FILTER('SM Repository'!BO:BO, 'SM Repository'!AF:AF = $A390, 'SM Repository'!BO:BO &lt;&gt; """"), ""x"")"),1.0)</f>
        <v>1</v>
      </c>
    </row>
    <row r="391">
      <c r="A391" s="172">
        <f t="shared" si="9"/>
        <v>2006</v>
      </c>
      <c r="B391" s="61">
        <f>IFERROR(__xludf.DUMMYFUNCTION("COUNTIF(FILTER('SM Repository'!BM:BM, 'SM Repository'!AF:AF = $A391, 'SM Repository'!BM:BM &lt;&gt; """"), ""x"")"),1.0)</f>
        <v>1</v>
      </c>
      <c r="C391" s="61">
        <f>IFERROR(__xludf.DUMMYFUNCTION("COUNTIF(FILTER('SM Repository'!BN:BN, 'SM Repository'!AF:AF = $A391, 'SM Repository'!BN:BN &lt;&gt; """"), ""x"")"),7.0)</f>
        <v>7</v>
      </c>
      <c r="D391" s="61">
        <f>IFERROR(__xludf.DUMMYFUNCTION("COUNTIF(FILTER('SM Repository'!BO:BO, 'SM Repository'!AF:AF = $A391, 'SM Repository'!BO:BO &lt;&gt; """"), ""x"")"),1.0)</f>
        <v>1</v>
      </c>
    </row>
    <row r="392">
      <c r="A392" s="172">
        <f t="shared" si="9"/>
        <v>2007</v>
      </c>
      <c r="B392" s="61">
        <f>IFERROR(__xludf.DUMMYFUNCTION("COUNTIF(FILTER('SM Repository'!BM:BM, 'SM Repository'!AF:AF = $A392, 'SM Repository'!BM:BM &lt;&gt; """"), ""x"")"),0.0)</f>
        <v>0</v>
      </c>
      <c r="C392" s="61">
        <f>IFERROR(__xludf.DUMMYFUNCTION("COUNTIF(FILTER('SM Repository'!BN:BN, 'SM Repository'!AF:AF = $A392, 'SM Repository'!BN:BN &lt;&gt; """"), ""x"")"),2.0)</f>
        <v>2</v>
      </c>
      <c r="D392" s="61">
        <f>IFERROR(__xludf.DUMMYFUNCTION("COUNTIF(FILTER('SM Repository'!BO:BO, 'SM Repository'!AF:AF = $A392, 'SM Repository'!BO:BO &lt;&gt; """"), ""x"")"),1.0)</f>
        <v>1</v>
      </c>
    </row>
    <row r="393">
      <c r="A393" s="172">
        <f t="shared" si="9"/>
        <v>2008</v>
      </c>
      <c r="B393" s="61">
        <f>IFERROR(__xludf.DUMMYFUNCTION("COUNTIF(FILTER('SM Repository'!BM:BM, 'SM Repository'!AF:AF = $A393, 'SM Repository'!BM:BM &lt;&gt; """"), ""x"")"),4.0)</f>
        <v>4</v>
      </c>
      <c r="C393" s="61">
        <f>IFERROR(__xludf.DUMMYFUNCTION("COUNTIF(FILTER('SM Repository'!BN:BN, 'SM Repository'!AF:AF = $A393, 'SM Repository'!BN:BN &lt;&gt; """"), ""x"")"),8.0)</f>
        <v>8</v>
      </c>
      <c r="D393" s="61">
        <f>IFERROR(__xludf.DUMMYFUNCTION("COUNTIF(FILTER('SM Repository'!BO:BO, 'SM Repository'!AF:AF = $A393, 'SM Repository'!BO:BO &lt;&gt; """"), ""x"")"),1.0)</f>
        <v>1</v>
      </c>
    </row>
    <row r="394">
      <c r="A394" s="172">
        <f t="shared" si="9"/>
        <v>2009</v>
      </c>
      <c r="B394" s="61">
        <f>IFERROR(__xludf.DUMMYFUNCTION("COUNTIF(FILTER('SM Repository'!BM:BM, 'SM Repository'!AF:AF = $A394, 'SM Repository'!BM:BM &lt;&gt; """"), ""x"")"),1.0)</f>
        <v>1</v>
      </c>
      <c r="C394" s="61">
        <f>IFERROR(__xludf.DUMMYFUNCTION("COUNTIF(FILTER('SM Repository'!BN:BN, 'SM Repository'!AF:AF = $A394, 'SM Repository'!BN:BN &lt;&gt; """"), ""x"")"),3.0)</f>
        <v>3</v>
      </c>
      <c r="D394" s="61">
        <f>IFERROR(__xludf.DUMMYFUNCTION("COUNTIF(FILTER('SM Repository'!BO:BO, 'SM Repository'!AF:AF = $A394, 'SM Repository'!BO:BO &lt;&gt; """"), ""x"")"),3.0)</f>
        <v>3</v>
      </c>
    </row>
    <row r="395">
      <c r="A395" s="172">
        <f t="shared" si="9"/>
        <v>2010</v>
      </c>
      <c r="B395" s="61">
        <f>IFERROR(__xludf.DUMMYFUNCTION("COUNTIF(FILTER('SM Repository'!BM:BM, 'SM Repository'!AF:AF = $A395, 'SM Repository'!BM:BM &lt;&gt; """"), ""x"")"),8.0)</f>
        <v>8</v>
      </c>
      <c r="C395" s="61">
        <f>IFERROR(__xludf.DUMMYFUNCTION("COUNTIF(FILTER('SM Repository'!BN:BN, 'SM Repository'!AF:AF = $A395, 'SM Repository'!BN:BN &lt;&gt; """"), ""x"")"),5.0)</f>
        <v>5</v>
      </c>
      <c r="D395" s="61">
        <f>IFERROR(__xludf.DUMMYFUNCTION("COUNTIF(FILTER('SM Repository'!BO:BO, 'SM Repository'!AF:AF = $A395, 'SM Repository'!BO:BO &lt;&gt; """"), ""x"")"),1.0)</f>
        <v>1</v>
      </c>
    </row>
    <row r="396">
      <c r="A396" s="172">
        <f t="shared" si="9"/>
        <v>2011</v>
      </c>
      <c r="B396" s="61">
        <f>IFERROR(__xludf.DUMMYFUNCTION("COUNTIF(FILTER('SM Repository'!BM:BM, 'SM Repository'!AF:AF = $A396, 'SM Repository'!BM:BM &lt;&gt; """"), ""x"")"),4.0)</f>
        <v>4</v>
      </c>
      <c r="C396" s="61">
        <f>IFERROR(__xludf.DUMMYFUNCTION("COUNTIF(FILTER('SM Repository'!BN:BN, 'SM Repository'!AF:AF = $A396, 'SM Repository'!BN:BN &lt;&gt; """"), ""x"")"),3.0)</f>
        <v>3</v>
      </c>
      <c r="D396" s="61">
        <f>IFERROR(__xludf.DUMMYFUNCTION("COUNTIF(FILTER('SM Repository'!BO:BO, 'SM Repository'!AF:AF = $A396, 'SM Repository'!BO:BO &lt;&gt; """"), ""x"")"),2.0)</f>
        <v>2</v>
      </c>
    </row>
    <row r="398">
      <c r="B398" s="61">
        <f t="shared" ref="B398:D398" si="10">sum(B386:B396)</f>
        <v>22</v>
      </c>
      <c r="C398" s="61">
        <f t="shared" si="10"/>
        <v>41</v>
      </c>
      <c r="D398" s="61">
        <f t="shared" si="10"/>
        <v>14</v>
      </c>
    </row>
    <row r="407">
      <c r="A407" s="26" t="s">
        <v>1291</v>
      </c>
    </row>
    <row r="408">
      <c r="A408" s="200" t="s">
        <v>115</v>
      </c>
      <c r="B408" s="183">
        <f>countif('SM Repository'!BQ:BQ, "x")</f>
        <v>39</v>
      </c>
    </row>
    <row r="409">
      <c r="A409" s="200" t="s">
        <v>116</v>
      </c>
      <c r="B409" s="183">
        <f>countif('SM Repository'!BR:BR, "x")</f>
        <v>19</v>
      </c>
    </row>
    <row r="410">
      <c r="A410" s="200" t="s">
        <v>1292</v>
      </c>
      <c r="B410" s="183">
        <f>countif('SM Repository'!BS:BS, "x")</f>
        <v>41</v>
      </c>
    </row>
    <row r="431">
      <c r="A431" s="201" t="s">
        <v>1293</v>
      </c>
      <c r="C431" s="201" t="s">
        <v>1294</v>
      </c>
      <c r="D431" s="202"/>
      <c r="E431" s="202"/>
      <c r="F431" s="203"/>
      <c r="G431" s="203"/>
      <c r="H431" s="203"/>
    </row>
    <row r="432">
      <c r="A432" s="60" t="s">
        <v>1295</v>
      </c>
      <c r="B432" s="183">
        <f>countif('SM Repository'!BT:BT, "x")</f>
        <v>37</v>
      </c>
      <c r="C432" s="108">
        <f t="shared" ref="C432:C439" si="11">100*B432/79</f>
        <v>46.83544304</v>
      </c>
    </row>
    <row r="433">
      <c r="A433" s="60" t="s">
        <v>1296</v>
      </c>
      <c r="B433" s="183">
        <f>countif('SM Repository'!BV:BV, "x")</f>
        <v>18</v>
      </c>
      <c r="C433" s="108">
        <f t="shared" si="11"/>
        <v>22.78481013</v>
      </c>
    </row>
    <row r="434">
      <c r="A434" s="60" t="s">
        <v>1297</v>
      </c>
      <c r="B434" s="183">
        <f>countif('SM Repository'!BX:BX, "x")</f>
        <v>15</v>
      </c>
      <c r="C434" s="108">
        <f t="shared" si="11"/>
        <v>18.98734177</v>
      </c>
    </row>
    <row r="435">
      <c r="A435" s="60" t="s">
        <v>1298</v>
      </c>
      <c r="B435" s="183">
        <f>countif('SM Repository'!BY:BY, "x")</f>
        <v>14</v>
      </c>
      <c r="C435" s="108">
        <f t="shared" si="11"/>
        <v>17.72151899</v>
      </c>
    </row>
    <row r="436">
      <c r="A436" s="60" t="s">
        <v>1299</v>
      </c>
      <c r="B436" s="183">
        <f>countif('SM Repository'!BZ:BZ, "x")</f>
        <v>7</v>
      </c>
      <c r="C436" s="108">
        <f t="shared" si="11"/>
        <v>8.860759494</v>
      </c>
    </row>
    <row r="437">
      <c r="A437" s="60" t="s">
        <v>1300</v>
      </c>
      <c r="B437" s="183">
        <f>countif('SM Repository'!BU:BU, "x")</f>
        <v>5</v>
      </c>
      <c r="C437" s="108">
        <f t="shared" si="11"/>
        <v>6.329113924</v>
      </c>
    </row>
    <row r="438">
      <c r="A438" s="60" t="s">
        <v>121</v>
      </c>
      <c r="B438" s="183">
        <f>countif('SM Repository'!BW:BW, "x")</f>
        <v>3</v>
      </c>
      <c r="C438" s="108">
        <f t="shared" si="11"/>
        <v>3.797468354</v>
      </c>
    </row>
    <row r="439">
      <c r="A439" s="60" t="s">
        <v>85</v>
      </c>
      <c r="B439" s="183">
        <f>countif('SM Repository'!CA:CA, "x")</f>
        <v>3</v>
      </c>
      <c r="C439" s="108">
        <f t="shared" si="11"/>
        <v>3.797468354</v>
      </c>
    </row>
    <row r="459">
      <c r="A459" s="27" t="s">
        <v>13</v>
      </c>
      <c r="B459" s="204"/>
      <c r="C459" s="27" t="s">
        <v>1294</v>
      </c>
      <c r="D459" s="204"/>
      <c r="E459" s="204"/>
      <c r="F459" s="204"/>
      <c r="G459" s="204"/>
      <c r="H459" s="74"/>
      <c r="I459" s="74"/>
    </row>
    <row r="460">
      <c r="A460" s="78" t="s">
        <v>1302</v>
      </c>
      <c r="B460" s="183">
        <f>countif('SM Repository'!CD:CD, "x")</f>
        <v>21</v>
      </c>
      <c r="C460" s="108">
        <f t="shared" ref="C460:C470" si="12">100*B460/79</f>
        <v>26.58227848</v>
      </c>
    </row>
    <row r="461">
      <c r="A461" s="77" t="s">
        <v>134</v>
      </c>
      <c r="B461" s="183">
        <f>countif('SM Repository'!CK:CK, "x")</f>
        <v>19</v>
      </c>
      <c r="C461" s="108">
        <f t="shared" si="12"/>
        <v>24.05063291</v>
      </c>
    </row>
    <row r="462">
      <c r="A462" s="77" t="s">
        <v>129</v>
      </c>
      <c r="B462" s="183">
        <f>countif('SM Repository'!CF:CF, "x")</f>
        <v>10</v>
      </c>
      <c r="C462" s="108">
        <f t="shared" si="12"/>
        <v>12.65822785</v>
      </c>
    </row>
    <row r="463">
      <c r="A463" s="77" t="s">
        <v>1623</v>
      </c>
      <c r="B463" s="183">
        <f>countif('SM Repository'!CB:CB, "x")</f>
        <v>9</v>
      </c>
      <c r="C463" s="108">
        <f t="shared" si="12"/>
        <v>11.39240506</v>
      </c>
    </row>
    <row r="464">
      <c r="A464" s="78" t="s">
        <v>1624</v>
      </c>
      <c r="B464" s="183">
        <f>countif('SM Repository'!CE:CE, "x")</f>
        <v>8</v>
      </c>
      <c r="C464" s="108">
        <f t="shared" si="12"/>
        <v>10.12658228</v>
      </c>
    </row>
    <row r="465">
      <c r="A465" s="77" t="s">
        <v>131</v>
      </c>
      <c r="B465" s="183">
        <f>countif('SM Repository'!CH:CH, "x")</f>
        <v>7</v>
      </c>
      <c r="C465" s="108">
        <f t="shared" si="12"/>
        <v>8.860759494</v>
      </c>
    </row>
    <row r="466">
      <c r="A466" s="77" t="s">
        <v>133</v>
      </c>
      <c r="B466" s="183">
        <f>countif('SM Repository'!CJ:CJ, "x")</f>
        <v>7</v>
      </c>
      <c r="C466" s="108">
        <f t="shared" si="12"/>
        <v>8.860759494</v>
      </c>
    </row>
    <row r="467">
      <c r="A467" s="77" t="s">
        <v>130</v>
      </c>
      <c r="B467" s="183">
        <f>countif('SM Repository'!CG:CG, "x")</f>
        <v>4</v>
      </c>
      <c r="C467" s="108">
        <f t="shared" si="12"/>
        <v>5.063291139</v>
      </c>
    </row>
    <row r="468">
      <c r="A468" s="77" t="s">
        <v>1306</v>
      </c>
      <c r="B468" s="183">
        <f>countif('SM Repository'!CC:CC, "x")</f>
        <v>2</v>
      </c>
      <c r="C468" s="108">
        <f t="shared" si="12"/>
        <v>2.53164557</v>
      </c>
    </row>
    <row r="469">
      <c r="A469" s="77" t="s">
        <v>1305</v>
      </c>
      <c r="B469" s="183">
        <f>countif('SM Repository'!CI:CI, "x")</f>
        <v>2</v>
      </c>
      <c r="C469" s="108">
        <f t="shared" si="12"/>
        <v>2.53164557</v>
      </c>
    </row>
    <row r="470">
      <c r="A470" s="77" t="s">
        <v>85</v>
      </c>
      <c r="B470" s="183">
        <f>countif('SM Repository'!CL:CL, "x")</f>
        <v>11</v>
      </c>
      <c r="C470" s="108">
        <f t="shared" si="12"/>
        <v>13.92405063</v>
      </c>
    </row>
    <row r="490">
      <c r="A490" s="206" t="s">
        <v>1310</v>
      </c>
    </row>
    <row r="491">
      <c r="A491" s="56" t="s">
        <v>135</v>
      </c>
      <c r="B491" s="183">
        <f>countif('SM Repository'!CN:CN, "x")</f>
        <v>39</v>
      </c>
    </row>
    <row r="492">
      <c r="A492" s="56" t="s">
        <v>1311</v>
      </c>
      <c r="B492" s="183">
        <f>countif('SM Repository'!CO:CO, "x")</f>
        <v>19</v>
      </c>
    </row>
    <row r="493">
      <c r="A493" s="56" t="s">
        <v>1312</v>
      </c>
      <c r="B493" s="183">
        <f>countif('SM Repository'!CP:CP, "x")</f>
        <v>17</v>
      </c>
    </row>
    <row r="494">
      <c r="A494" s="56" t="s">
        <v>138</v>
      </c>
      <c r="B494" s="183">
        <f>countif('SM Repository'!CQ:CQ, "x")</f>
        <v>12</v>
      </c>
    </row>
    <row r="495">
      <c r="A495" s="56" t="s">
        <v>85</v>
      </c>
      <c r="B495" s="183">
        <f>countif('SM Repository'!CR:CR, "x")</f>
        <v>13</v>
      </c>
    </row>
    <row r="507">
      <c r="A507" s="57" t="s">
        <v>15</v>
      </c>
    </row>
    <row r="508">
      <c r="A508" s="57" t="s">
        <v>139</v>
      </c>
      <c r="B508" s="183">
        <f>countif('SM Repository'!CT:CT, "x")</f>
        <v>27</v>
      </c>
    </row>
    <row r="509">
      <c r="A509" s="57" t="s">
        <v>140</v>
      </c>
      <c r="B509" s="183">
        <f>countif('SM Repository'!CU:CU, "x")</f>
        <v>69</v>
      </c>
    </row>
    <row r="512">
      <c r="B512" s="80" t="s">
        <v>1313</v>
      </c>
    </row>
    <row r="529">
      <c r="A529" s="76" t="s">
        <v>1314</v>
      </c>
    </row>
    <row r="530">
      <c r="A530" s="60" t="s">
        <v>1315</v>
      </c>
      <c r="B530" s="183">
        <f>countif('SM Repository'!CY:CY, "x")</f>
        <v>28</v>
      </c>
    </row>
    <row r="531">
      <c r="A531" s="60" t="s">
        <v>161</v>
      </c>
      <c r="B531" s="183">
        <f>countif('SM Repository'!DA:DA, "x")</f>
        <v>25</v>
      </c>
    </row>
    <row r="532">
      <c r="A532" s="60" t="s">
        <v>1316</v>
      </c>
      <c r="B532" s="183">
        <f>countif('SM Repository'!CZ:CZ, "x")</f>
        <v>24</v>
      </c>
    </row>
    <row r="533">
      <c r="A533" s="60" t="s">
        <v>147</v>
      </c>
      <c r="B533" s="183">
        <f>countif('SM Repository'!DC:DC, "x")</f>
        <v>11</v>
      </c>
    </row>
    <row r="534">
      <c r="A534" s="60" t="s">
        <v>1317</v>
      </c>
      <c r="B534" s="183">
        <f>countif('SM Repository'!DB:DB, "x")</f>
        <v>8</v>
      </c>
    </row>
    <row r="535">
      <c r="A535" s="60" t="s">
        <v>1318</v>
      </c>
      <c r="B535" s="183">
        <f>countif('SM Repository'!DD:DD, "x")</f>
        <v>5</v>
      </c>
    </row>
    <row r="536">
      <c r="A536" s="60" t="s">
        <v>85</v>
      </c>
      <c r="B536" s="183">
        <f>countif('SM Repository'!DE:DE, "x")</f>
        <v>1</v>
      </c>
    </row>
    <row r="545">
      <c r="A545" s="85" t="s">
        <v>27</v>
      </c>
    </row>
    <row r="546">
      <c r="A546" s="85" t="s">
        <v>182</v>
      </c>
      <c r="B546" s="183">
        <f>countif('SM Repository'!DF:DF, "x")</f>
        <v>4</v>
      </c>
    </row>
    <row r="547">
      <c r="A547" s="85" t="s">
        <v>183</v>
      </c>
      <c r="B547" s="183">
        <f>countif('SM Repository'!DG:DG, "x")</f>
        <v>75</v>
      </c>
    </row>
    <row r="551">
      <c r="A551" s="77" t="s">
        <v>28</v>
      </c>
    </row>
    <row r="552">
      <c r="A552" s="77" t="s">
        <v>184</v>
      </c>
      <c r="B552" s="183">
        <f>countif('SM Repository'!DI:DI, "x")</f>
        <v>66</v>
      </c>
    </row>
    <row r="553">
      <c r="A553" s="77" t="s">
        <v>1319</v>
      </c>
      <c r="B553" s="183">
        <f>countif('SM Repository'!DJ:DJ, "x")</f>
        <v>13</v>
      </c>
    </row>
    <row r="555">
      <c r="B555" s="77" t="s">
        <v>184</v>
      </c>
      <c r="C555" s="77" t="s">
        <v>185</v>
      </c>
    </row>
    <row r="556">
      <c r="A556" s="171">
        <v>2001.0</v>
      </c>
      <c r="B556" s="61">
        <f>IFERROR(__xludf.DUMMYFUNCTION("COUNTIF(FILTER('SM Repository'!DI:DI, 'SM Repository'!AF:AF = $A556, 'SM Repository'!DI:DI &lt;&gt; """"), ""x"")"),2.0)</f>
        <v>2</v>
      </c>
      <c r="C556" s="61">
        <f>IFERROR(__xludf.DUMMYFUNCTION("COUNTIF(FILTER('SM Repository'!DJ:DJ, 'SM Repository'!AF:AF = $A556, 'SM Repository'!DJ:DJ &lt;&gt; """"), ""x"")"),0.0)</f>
        <v>0</v>
      </c>
    </row>
    <row r="557">
      <c r="A557" s="172">
        <f t="shared" ref="A557:A566" si="13">A556+1</f>
        <v>2002</v>
      </c>
      <c r="B557" s="61">
        <f>IFERROR(__xludf.DUMMYFUNCTION("COUNTIF(FILTER('SM Repository'!DI:DI, 'SM Repository'!AF:AF = $A557, 'SM Repository'!DI:DI &lt;&gt; """"), ""x"")"),5.0)</f>
        <v>5</v>
      </c>
      <c r="C557" s="61">
        <f>IFERROR(__xludf.DUMMYFUNCTION("COUNTIF(FILTER('SM Repository'!DJ:DJ, 'SM Repository'!AF:AF = $A557, 'SM Repository'!DJ:DJ &lt;&gt; """"), ""x"")"),0.0)</f>
        <v>0</v>
      </c>
    </row>
    <row r="558">
      <c r="A558" s="172">
        <f t="shared" si="13"/>
        <v>2003</v>
      </c>
      <c r="B558" s="61">
        <f>IFERROR(__xludf.DUMMYFUNCTION("COUNTIF(FILTER('SM Repository'!DI:DI, 'SM Repository'!AF:AF = $A558, 'SM Repository'!DI:DI &lt;&gt; """"), ""x"")"),0.0)</f>
        <v>0</v>
      </c>
      <c r="C558" s="61">
        <f>IFERROR(__xludf.DUMMYFUNCTION("COUNTIF(FILTER('SM Repository'!DJ:DJ, 'SM Repository'!AF:AF = $A558, 'SM Repository'!DJ:DJ &lt;&gt; """"), ""x"")"),0.0)</f>
        <v>0</v>
      </c>
    </row>
    <row r="559">
      <c r="A559" s="172">
        <f t="shared" si="13"/>
        <v>2004</v>
      </c>
      <c r="B559" s="61">
        <f>IFERROR(__xludf.DUMMYFUNCTION("COUNTIF(FILTER('SM Repository'!DI:DI, 'SM Repository'!AF:AF = $A559, 'SM Repository'!DI:DI &lt;&gt; """"), ""x"")"),6.0)</f>
        <v>6</v>
      </c>
      <c r="C559" s="61">
        <f>IFERROR(__xludf.DUMMYFUNCTION("COUNTIF(FILTER('SM Repository'!DJ:DJ, 'SM Repository'!AF:AF = $A559, 'SM Repository'!DJ:DJ &lt;&gt; """"), ""x"")"),0.0)</f>
        <v>0</v>
      </c>
    </row>
    <row r="560">
      <c r="A560" s="172">
        <f t="shared" si="13"/>
        <v>2005</v>
      </c>
      <c r="B560" s="61">
        <f>IFERROR(__xludf.DUMMYFUNCTION("COUNTIF(FILTER('SM Repository'!DI:DI, 'SM Repository'!AF:AF = $A560, 'SM Repository'!DI:DI &lt;&gt; """"), ""x"")"),10.0)</f>
        <v>10</v>
      </c>
      <c r="C560" s="61">
        <f>IFERROR(__xludf.DUMMYFUNCTION("COUNTIF(FILTER('SM Repository'!DJ:DJ, 'SM Repository'!AF:AF = $A560, 'SM Repository'!DJ:DJ &lt;&gt; """"), ""x"")"),0.0)</f>
        <v>0</v>
      </c>
    </row>
    <row r="561">
      <c r="A561" s="172">
        <f t="shared" si="13"/>
        <v>2006</v>
      </c>
      <c r="B561" s="61">
        <f>IFERROR(__xludf.DUMMYFUNCTION("COUNTIF(FILTER('SM Repository'!DI:DI, 'SM Repository'!AF:AF = $A561, 'SM Repository'!DI:DI &lt;&gt; """"), ""x"")"),9.0)</f>
        <v>9</v>
      </c>
      <c r="C561" s="61">
        <f>IFERROR(__xludf.DUMMYFUNCTION("COUNTIF(FILTER('SM Repository'!DJ:DJ, 'SM Repository'!AF:AF = $A561, 'SM Repository'!DJ:DJ &lt;&gt; """"), ""x"")"),1.0)</f>
        <v>1</v>
      </c>
    </row>
    <row r="562">
      <c r="A562" s="172">
        <f t="shared" si="13"/>
        <v>2007</v>
      </c>
      <c r="B562" s="61">
        <f>IFERROR(__xludf.DUMMYFUNCTION("COUNTIF(FILTER('SM Repository'!DI:DI, 'SM Repository'!AF:AF = $A562, 'SM Repository'!DI:DI &lt;&gt; """"), ""x"")"),3.0)</f>
        <v>3</v>
      </c>
      <c r="C562" s="61">
        <f>IFERROR(__xludf.DUMMYFUNCTION("COUNTIF(FILTER('SM Repository'!DJ:DJ, 'SM Repository'!AF:AF = $A562, 'SM Repository'!DJ:DJ &lt;&gt; """"), ""x"")"),0.0)</f>
        <v>0</v>
      </c>
    </row>
    <row r="563">
      <c r="A563" s="172">
        <f t="shared" si="13"/>
        <v>2008</v>
      </c>
      <c r="B563" s="61">
        <f>IFERROR(__xludf.DUMMYFUNCTION("COUNTIF(FILTER('SM Repository'!DI:DI, 'SM Repository'!AF:AF = $A563, 'SM Repository'!DI:DI &lt;&gt; """"), ""x"")"),11.0)</f>
        <v>11</v>
      </c>
      <c r="C563" s="61">
        <f>IFERROR(__xludf.DUMMYFUNCTION("COUNTIF(FILTER('SM Repository'!DJ:DJ, 'SM Repository'!AF:AF = $A563, 'SM Repository'!DJ:DJ &lt;&gt; """"), ""x"")"),2.0)</f>
        <v>2</v>
      </c>
    </row>
    <row r="564">
      <c r="A564" s="172">
        <f t="shared" si="13"/>
        <v>2009</v>
      </c>
      <c r="B564" s="61">
        <f>IFERROR(__xludf.DUMMYFUNCTION("COUNTIF(FILTER('SM Repository'!DI:DI, 'SM Repository'!AF:AF = $A564, 'SM Repository'!DI:DI &lt;&gt; """"), ""x"")"),6.0)</f>
        <v>6</v>
      </c>
      <c r="C564" s="61">
        <f>IFERROR(__xludf.DUMMYFUNCTION("COUNTIF(FILTER('SM Repository'!DJ:DJ, 'SM Repository'!AF:AF = $A564, 'SM Repository'!DJ:DJ &lt;&gt; """"), ""x"")"),1.0)</f>
        <v>1</v>
      </c>
    </row>
    <row r="565">
      <c r="A565" s="172">
        <f t="shared" si="13"/>
        <v>2010</v>
      </c>
      <c r="B565" s="61">
        <f>IFERROR(__xludf.DUMMYFUNCTION("COUNTIF(FILTER('SM Repository'!DI:DI, 'SM Repository'!AF:AF = $A565, 'SM Repository'!DI:DI &lt;&gt; """"), ""x"")"),9.0)</f>
        <v>9</v>
      </c>
      <c r="C565" s="61">
        <f>IFERROR(__xludf.DUMMYFUNCTION("COUNTIF(FILTER('SM Repository'!DJ:DJ, 'SM Repository'!AF:AF = $A565, 'SM Repository'!DJ:DJ &lt;&gt; """"), ""x"")"),5.0)</f>
        <v>5</v>
      </c>
    </row>
    <row r="566">
      <c r="A566" s="172">
        <f t="shared" si="13"/>
        <v>2011</v>
      </c>
      <c r="B566" s="61">
        <f>IFERROR(__xludf.DUMMYFUNCTION("COUNTIF(FILTER('SM Repository'!DI:DI, 'SM Repository'!AF:AF = $A566, 'SM Repository'!DI:DI &lt;&gt; """"), ""x"")"),5.0)</f>
        <v>5</v>
      </c>
      <c r="C566" s="61">
        <f>IFERROR(__xludf.DUMMYFUNCTION("COUNTIF(FILTER('SM Repository'!DJ:DJ, 'SM Repository'!AF:AF = $A566, 'SM Repository'!DJ:DJ &lt;&gt; """"), ""x"")"),4.0)</f>
        <v>4</v>
      </c>
    </row>
    <row r="567">
      <c r="A567" s="193" t="s">
        <v>1262</v>
      </c>
    </row>
    <row r="569">
      <c r="A569" s="39" t="s">
        <v>27</v>
      </c>
    </row>
    <row r="570">
      <c r="B570" s="85" t="s">
        <v>182</v>
      </c>
      <c r="C570" s="85" t="s">
        <v>183</v>
      </c>
    </row>
    <row r="571">
      <c r="A571" s="171">
        <v>2001.0</v>
      </c>
      <c r="B571" s="61">
        <f>IFERROR(__xludf.DUMMYFUNCTION("COUNTIF(FILTER('SM Repository'!DF:DF, 'SM Repository'!AF:AF = $A571, 'SM Repository'!DF:DF &lt;&gt; """"), ""x"")"),1.0)</f>
        <v>1</v>
      </c>
      <c r="C571" s="61">
        <f>IFERROR(__xludf.DUMMYFUNCTION("COUNTIF(FILTER('SM Repository'!DG:DG, 'SM Repository'!AF:AF = $A571, 'SM Repository'!DG:DG &lt;&gt; """"), ""x"")"),1.0)</f>
        <v>1</v>
      </c>
    </row>
    <row r="572">
      <c r="A572" s="172">
        <f t="shared" ref="A572:A581" si="14">A571+1</f>
        <v>2002</v>
      </c>
      <c r="B572" s="61">
        <f>IFERROR(__xludf.DUMMYFUNCTION("COUNTIF(FILTER('SM Repository'!DF:DF, 'SM Repository'!AF:AF = $A572, 'SM Repository'!DF:DF &lt;&gt; """"), ""x"")"),0.0)</f>
        <v>0</v>
      </c>
      <c r="C572" s="61">
        <f>IFERROR(__xludf.DUMMYFUNCTION("COUNTIF(FILTER('SM Repository'!DG:DG, 'SM Repository'!AF:AF = $A572, 'SM Repository'!DG:DG &lt;&gt; """"), ""x"")"),5.0)</f>
        <v>5</v>
      </c>
    </row>
    <row r="573">
      <c r="A573" s="172">
        <f t="shared" si="14"/>
        <v>2003</v>
      </c>
      <c r="B573" s="61">
        <f>IFERROR(__xludf.DUMMYFUNCTION("COUNTIF(FILTER('SM Repository'!DF:DF, 'SM Repository'!AF:AF = $A573, 'SM Repository'!DF:DF &lt;&gt; """"), ""x"")"),0.0)</f>
        <v>0</v>
      </c>
      <c r="C573" s="61">
        <f>IFERROR(__xludf.DUMMYFUNCTION("COUNTIF(FILTER('SM Repository'!DG:DG, 'SM Repository'!AF:AF = $A573, 'SM Repository'!DG:DG &lt;&gt; """"), ""x"")"),0.0)</f>
        <v>0</v>
      </c>
    </row>
    <row r="574">
      <c r="A574" s="172">
        <f t="shared" si="14"/>
        <v>2004</v>
      </c>
      <c r="B574" s="61">
        <f>IFERROR(__xludf.DUMMYFUNCTION("COUNTIF(FILTER('SM Repository'!DF:DF, 'SM Repository'!AF:AF = $A574, 'SM Repository'!DF:DF &lt;&gt; """"), ""x"")"),0.0)</f>
        <v>0</v>
      </c>
      <c r="C574" s="61">
        <f>IFERROR(__xludf.DUMMYFUNCTION("COUNTIF(FILTER('SM Repository'!DG:DG, 'SM Repository'!AF:AF = $A574, 'SM Repository'!DG:DG &lt;&gt; """"), ""x"")"),6.0)</f>
        <v>6</v>
      </c>
    </row>
    <row r="575">
      <c r="A575" s="172">
        <f t="shared" si="14"/>
        <v>2005</v>
      </c>
      <c r="B575" s="61">
        <f>IFERROR(__xludf.DUMMYFUNCTION("COUNTIF(FILTER('SM Repository'!DF:DF, 'SM Repository'!AF:AF = $A575, 'SM Repository'!DF:DF &lt;&gt; """"), ""x"")"),0.0)</f>
        <v>0</v>
      </c>
      <c r="C575" s="61">
        <f>IFERROR(__xludf.DUMMYFUNCTION("COUNTIF(FILTER('SM Repository'!DG:DG, 'SM Repository'!AF:AF = $A575, 'SM Repository'!DG:DG &lt;&gt; """"), ""x"")"),10.0)</f>
        <v>10</v>
      </c>
    </row>
    <row r="576">
      <c r="A576" s="172">
        <f t="shared" si="14"/>
        <v>2006</v>
      </c>
      <c r="B576" s="61">
        <f>IFERROR(__xludf.DUMMYFUNCTION("COUNTIF(FILTER('SM Repository'!DF:DF, 'SM Repository'!AF:AF = $A576, 'SM Repository'!DF:DF &lt;&gt; """"), ""x"")"),2.0)</f>
        <v>2</v>
      </c>
      <c r="C576" s="61">
        <f>IFERROR(__xludf.DUMMYFUNCTION("COUNTIF(FILTER('SM Repository'!DG:DG, 'SM Repository'!AF:AF = $A576, 'SM Repository'!DG:DG &lt;&gt; """"), ""x"")"),8.0)</f>
        <v>8</v>
      </c>
    </row>
    <row r="577">
      <c r="A577" s="172">
        <f t="shared" si="14"/>
        <v>2007</v>
      </c>
      <c r="B577" s="61">
        <f>IFERROR(__xludf.DUMMYFUNCTION("COUNTIF(FILTER('SM Repository'!DF:DF, 'SM Repository'!AF:AF = $A577, 'SM Repository'!DF:DF &lt;&gt; """"), ""x"")"),0.0)</f>
        <v>0</v>
      </c>
      <c r="C577" s="61">
        <f>IFERROR(__xludf.DUMMYFUNCTION("COUNTIF(FILTER('SM Repository'!DG:DG, 'SM Repository'!AF:AF = $A577, 'SM Repository'!DG:DG &lt;&gt; """"), ""x"")"),3.0)</f>
        <v>3</v>
      </c>
    </row>
    <row r="578">
      <c r="A578" s="172">
        <f t="shared" si="14"/>
        <v>2008</v>
      </c>
      <c r="B578" s="61">
        <f>IFERROR(__xludf.DUMMYFUNCTION("COUNTIF(FILTER('SM Repository'!DF:DF, 'SM Repository'!AF:AF = $A578, 'SM Repository'!DF:DF &lt;&gt; """"), ""x"")"),1.0)</f>
        <v>1</v>
      </c>
      <c r="C578" s="61">
        <f>IFERROR(__xludf.DUMMYFUNCTION("COUNTIF(FILTER('SM Repository'!DG:DG, 'SM Repository'!AF:AF = $A578, 'SM Repository'!DG:DG &lt;&gt; """"), ""x"")"),12.0)</f>
        <v>12</v>
      </c>
    </row>
    <row r="579">
      <c r="A579" s="172">
        <f t="shared" si="14"/>
        <v>2009</v>
      </c>
      <c r="B579" s="61">
        <f>IFERROR(__xludf.DUMMYFUNCTION("COUNTIF(FILTER('SM Repository'!DF:DF, 'SM Repository'!AF:AF = $A579, 'SM Repository'!DF:DF &lt;&gt; """"), ""x"")"),0.0)</f>
        <v>0</v>
      </c>
      <c r="C579" s="61">
        <f>IFERROR(__xludf.DUMMYFUNCTION("COUNTIF(FILTER('SM Repository'!DG:DG, 'SM Repository'!AF:AF = $A579, 'SM Repository'!DG:DG &lt;&gt; """"), ""x"")"),7.0)</f>
        <v>7</v>
      </c>
    </row>
    <row r="580">
      <c r="A580" s="172">
        <f t="shared" si="14"/>
        <v>2010</v>
      </c>
      <c r="B580" s="61">
        <f>IFERROR(__xludf.DUMMYFUNCTION("COUNTIF(FILTER('SM Repository'!DF:DF, 'SM Repository'!AF:AF = $A580, 'SM Repository'!DF:DF &lt;&gt; """"), ""x"")"),0.0)</f>
        <v>0</v>
      </c>
      <c r="C580" s="61">
        <f>IFERROR(__xludf.DUMMYFUNCTION("COUNTIF(FILTER('SM Repository'!DG:DG, 'SM Repository'!AF:AF = $A580, 'SM Repository'!DG:DG &lt;&gt; """"), ""x"")"),14.0)</f>
        <v>14</v>
      </c>
    </row>
    <row r="581">
      <c r="A581" s="172">
        <f t="shared" si="14"/>
        <v>2011</v>
      </c>
      <c r="B581" s="61">
        <f>IFERROR(__xludf.DUMMYFUNCTION("COUNTIF(FILTER('SM Repository'!DF:DF, 'SM Repository'!AF:AF = $A581, 'SM Repository'!DF:DF &lt;&gt; """"), ""x"")"),0.0)</f>
        <v>0</v>
      </c>
      <c r="C581" s="61">
        <f>IFERROR(__xludf.DUMMYFUNCTION("COUNTIF(FILTER('SM Repository'!DG:DG, 'SM Repository'!AF:AF = $A581, 'SM Repository'!DG:DG &lt;&gt; """"), ""x"")"),9.0)</f>
        <v>9</v>
      </c>
    </row>
    <row r="604">
      <c r="A604" s="67" t="s">
        <v>1320</v>
      </c>
    </row>
    <row r="605">
      <c r="A605" s="86" t="s">
        <v>186</v>
      </c>
      <c r="B605" s="183">
        <f>countif('SM Repository'!DM:DM, "x")</f>
        <v>28</v>
      </c>
    </row>
    <row r="606">
      <c r="A606" s="86" t="s">
        <v>188</v>
      </c>
      <c r="B606" s="183">
        <f>countif('SM Repository'!DO:DO, "x")</f>
        <v>24</v>
      </c>
    </row>
    <row r="607">
      <c r="A607" s="86" t="s">
        <v>187</v>
      </c>
      <c r="B607" s="183">
        <f>countif('SM Repository'!DN:DN, "x")</f>
        <v>14</v>
      </c>
    </row>
    <row r="608">
      <c r="A608" s="86" t="s">
        <v>85</v>
      </c>
      <c r="B608" s="183">
        <f>countif('SM Repository'!DR:DR, "x")</f>
        <v>1</v>
      </c>
    </row>
    <row r="609">
      <c r="A609" s="86" t="s">
        <v>190</v>
      </c>
      <c r="B609" s="183">
        <f>countif('SM Repository'!DQ:DQ, "x")</f>
        <v>9</v>
      </c>
    </row>
    <row r="610">
      <c r="A610" s="86" t="s">
        <v>189</v>
      </c>
      <c r="B610" s="183">
        <f>countif('SM Repository'!DP:DP, "x")</f>
        <v>23</v>
      </c>
    </row>
    <row r="612">
      <c r="A612" s="86" t="s">
        <v>1233</v>
      </c>
      <c r="B612" s="183">
        <f t="array" ref="B612">countif({}, "x")</f>
        <v>0</v>
      </c>
    </row>
    <row r="624">
      <c r="A624" s="207" t="s">
        <v>1321</v>
      </c>
    </row>
    <row r="625">
      <c r="A625" s="87" t="s">
        <v>1322</v>
      </c>
      <c r="B625" s="183">
        <f>countif('SM Repository'!DT:DT, "x")</f>
        <v>25</v>
      </c>
    </row>
    <row r="626">
      <c r="A626" s="87" t="s">
        <v>191</v>
      </c>
      <c r="B626" s="183">
        <f>countif('SM Repository'!DS:DS, "x")</f>
        <v>17</v>
      </c>
    </row>
    <row r="627">
      <c r="A627" s="87" t="s">
        <v>193</v>
      </c>
      <c r="B627" s="183">
        <f>countif('SM Repository'!DU:DU, "x")</f>
        <v>3</v>
      </c>
    </row>
    <row r="628">
      <c r="A628" s="87" t="s">
        <v>1323</v>
      </c>
      <c r="B628" s="183">
        <f>countif('SM Repository'!DX:DX, "x")</f>
        <v>2</v>
      </c>
    </row>
    <row r="629">
      <c r="A629" s="87" t="s">
        <v>85</v>
      </c>
      <c r="B629" s="183">
        <f>countif('SM Repository'!EA:EA, "x")</f>
        <v>2</v>
      </c>
    </row>
    <row r="630">
      <c r="A630" s="87" t="s">
        <v>190</v>
      </c>
      <c r="B630" s="183">
        <f>countif('SM Repository'!DZ:DZ, "x")</f>
        <v>11</v>
      </c>
    </row>
    <row r="631">
      <c r="A631" s="87" t="s">
        <v>189</v>
      </c>
      <c r="B631" s="183">
        <f>countif('SM Repository'!DY:DY, "x")</f>
        <v>16</v>
      </c>
    </row>
    <row r="632">
      <c r="A632" s="122"/>
      <c r="B632" s="178"/>
    </row>
    <row r="633">
      <c r="A633" s="122"/>
      <c r="B633" s="178"/>
    </row>
    <row r="634">
      <c r="A634" s="87" t="s">
        <v>194</v>
      </c>
      <c r="B634" s="183">
        <f>countif('SM Repository'!DV:DV, "x")</f>
        <v>0</v>
      </c>
    </row>
    <row r="635">
      <c r="A635" s="87" t="s">
        <v>195</v>
      </c>
      <c r="B635" s="183">
        <f>countif('SM Repository'!DW:DW, "x")</f>
        <v>0</v>
      </c>
    </row>
    <row r="647">
      <c r="A647" s="71" t="s">
        <v>32</v>
      </c>
    </row>
    <row r="648">
      <c r="A648" s="88" t="s">
        <v>197</v>
      </c>
      <c r="B648" s="183">
        <f>counta('SM Repository'!EB:EB)-2</f>
        <v>43</v>
      </c>
    </row>
    <row r="649">
      <c r="A649" s="88" t="s">
        <v>198</v>
      </c>
      <c r="B649" s="183">
        <f>counta('SM Repository'!EC:EC)-2</f>
        <v>7</v>
      </c>
    </row>
    <row r="654">
      <c r="A654" s="208" t="s">
        <v>33</v>
      </c>
    </row>
    <row r="655">
      <c r="A655" s="89" t="s">
        <v>199</v>
      </c>
      <c r="B655" s="80" t="s">
        <v>1324</v>
      </c>
    </row>
    <row r="656">
      <c r="C656" s="209" t="s">
        <v>1325</v>
      </c>
    </row>
    <row r="657">
      <c r="A657" s="122"/>
    </row>
    <row r="658">
      <c r="A658" s="90" t="s">
        <v>201</v>
      </c>
      <c r="B658" s="80" t="s">
        <v>1324</v>
      </c>
    </row>
    <row r="660">
      <c r="A660" s="90" t="s">
        <v>202</v>
      </c>
    </row>
    <row r="661">
      <c r="A661" s="80" t="s">
        <v>1325</v>
      </c>
    </row>
    <row r="662">
      <c r="A662" s="90" t="s">
        <v>1326</v>
      </c>
      <c r="B662" s="183">
        <f>countif('SM Repository'!EI:EI, "x")</f>
        <v>42</v>
      </c>
    </row>
    <row r="663">
      <c r="A663" s="90" t="s">
        <v>1327</v>
      </c>
      <c r="B663" s="183">
        <f>countif('SM Repository'!EH:EH, "x")</f>
        <v>22</v>
      </c>
    </row>
    <row r="664">
      <c r="A664" s="90" t="s">
        <v>1328</v>
      </c>
      <c r="B664" s="183">
        <f>countif('SM Repository'!EJ:EJ, "x")</f>
        <v>21</v>
      </c>
    </row>
    <row r="667">
      <c r="B667" s="90" t="s">
        <v>203</v>
      </c>
      <c r="C667" s="90" t="s">
        <v>204</v>
      </c>
      <c r="D667" s="90" t="s">
        <v>205</v>
      </c>
      <c r="G667" s="90" t="s">
        <v>203</v>
      </c>
      <c r="H667" s="90" t="s">
        <v>204</v>
      </c>
      <c r="I667" s="90" t="s">
        <v>205</v>
      </c>
    </row>
    <row r="668">
      <c r="A668" s="171">
        <v>1999.0</v>
      </c>
      <c r="B668" s="61">
        <f>IFERROR(__xludf.DUMMYFUNCTION("COUNTIF(FILTER('SM Repository'!EH:EH, 'SM Repository'!AF:AF = $A668, 'SM Repository'!EH:EH &lt;&gt; """"), ""x"")"),0.0)</f>
        <v>0</v>
      </c>
      <c r="C668" s="61">
        <f>IFERROR(__xludf.DUMMYFUNCTION("COUNTIF(FILTER('SM Repository'!EI:EI, 'SM Repository'!AF:AF = $A668, 'SM Repository'!EI:EI &lt;&gt; """"), ""x"")"),0.0)</f>
        <v>0</v>
      </c>
      <c r="D668" s="61">
        <f>IFERROR(__xludf.DUMMYFUNCTION("COUNTIF(FILTER('SM Repository'!EJ:EJ, 'SM Repository'!AF:AF = $A668, 'SM Repository'!EJ:EJ &lt;&gt; """"), ""x"")"),0.0)</f>
        <v>0</v>
      </c>
      <c r="F668" s="171">
        <v>1999.0</v>
      </c>
      <c r="G668" s="61">
        <f t="shared" ref="G668:I668" si="15">B668+""</f>
        <v>0</v>
      </c>
      <c r="H668" s="61">
        <f t="shared" si="15"/>
        <v>0</v>
      </c>
      <c r="I668" s="61">
        <f t="shared" si="15"/>
        <v>0</v>
      </c>
    </row>
    <row r="669">
      <c r="A669" s="171">
        <v>2000.0</v>
      </c>
      <c r="B669" s="61">
        <f>IFERROR(__xludf.DUMMYFUNCTION("COUNTIF(FILTER('SM Repository'!EH:EH, 'SM Repository'!AF:AF = $A669, 'SM Repository'!EH:EH &lt;&gt; """"), ""x"")"),0.0)</f>
        <v>0</v>
      </c>
      <c r="C669" s="61">
        <f>IFERROR(__xludf.DUMMYFUNCTION("COUNTIF(FILTER('SM Repository'!EI:EI, 'SM Repository'!AF:AF = $A669, 'SM Repository'!EI:EI &lt;&gt; """"), ""x"")"),0.0)</f>
        <v>0</v>
      </c>
      <c r="D669" s="61">
        <f>IFERROR(__xludf.DUMMYFUNCTION("COUNTIF(FILTER('SM Repository'!EJ:EJ, 'SM Repository'!AF:AF = $A669, 'SM Repository'!EJ:EJ &lt;&gt; """"), ""x"")"),0.0)</f>
        <v>0</v>
      </c>
      <c r="F669" s="171">
        <v>2000.0</v>
      </c>
      <c r="G669" s="61">
        <f t="shared" ref="G669:I669" si="16">B669+G668</f>
        <v>0</v>
      </c>
      <c r="H669" s="61">
        <f t="shared" si="16"/>
        <v>0</v>
      </c>
      <c r="I669" s="61">
        <f t="shared" si="16"/>
        <v>0</v>
      </c>
    </row>
    <row r="670">
      <c r="A670" s="172">
        <f t="shared" ref="A670:A680" si="18">A669+1</f>
        <v>2001</v>
      </c>
      <c r="B670" s="61">
        <f>IFERROR(__xludf.DUMMYFUNCTION("COUNTIF(FILTER('SM Repository'!EH:EH, 'SM Repository'!AF:AF = $A670, 'SM Repository'!EH:EH &lt;&gt; """"), ""x"")"),0.0)</f>
        <v>0</v>
      </c>
      <c r="C670" s="61">
        <f>IFERROR(__xludf.DUMMYFUNCTION("COUNTIF(FILTER('SM Repository'!EI:EI, 'SM Repository'!AF:AF = $A670, 'SM Repository'!EI:EI &lt;&gt; """"), ""x"")"),0.0)</f>
        <v>0</v>
      </c>
      <c r="D670" s="61">
        <f>IFERROR(__xludf.DUMMYFUNCTION("COUNTIF(FILTER('SM Repository'!EJ:EJ, 'SM Repository'!AF:AF = $A670, 'SM Repository'!EJ:EJ &lt;&gt; """"), ""x"")"),1.0)</f>
        <v>1</v>
      </c>
      <c r="F670" s="172">
        <f t="shared" ref="F670:F680" si="19">F669+1</f>
        <v>2001</v>
      </c>
      <c r="G670" s="61">
        <f t="shared" ref="G670:I670" si="17">B670+G669</f>
        <v>0</v>
      </c>
      <c r="H670" s="61">
        <f t="shared" si="17"/>
        <v>0</v>
      </c>
      <c r="I670" s="61">
        <f t="shared" si="17"/>
        <v>1</v>
      </c>
    </row>
    <row r="671">
      <c r="A671" s="172">
        <f t="shared" si="18"/>
        <v>2002</v>
      </c>
      <c r="B671" s="61">
        <f>IFERROR(__xludf.DUMMYFUNCTION("COUNTIF(FILTER('SM Repository'!EH:EH, 'SM Repository'!AF:AF = $A671, 'SM Repository'!EH:EH &lt;&gt; """"), ""x"")"),1.0)</f>
        <v>1</v>
      </c>
      <c r="C671" s="61">
        <f>IFERROR(__xludf.DUMMYFUNCTION("COUNTIF(FILTER('SM Repository'!EI:EI, 'SM Repository'!AF:AF = $A671, 'SM Repository'!EI:EI &lt;&gt; """"), ""x"")"),1.0)</f>
        <v>1</v>
      </c>
      <c r="D671" s="61">
        <f>IFERROR(__xludf.DUMMYFUNCTION("COUNTIF(FILTER('SM Repository'!EJ:EJ, 'SM Repository'!AF:AF = $A671, 'SM Repository'!EJ:EJ &lt;&gt; """"), ""x"")"),1.0)</f>
        <v>1</v>
      </c>
      <c r="F671" s="172">
        <f t="shared" si="19"/>
        <v>2002</v>
      </c>
      <c r="G671" s="61">
        <f t="shared" ref="G671:I671" si="20">B671+G670</f>
        <v>1</v>
      </c>
      <c r="H671" s="61">
        <f t="shared" si="20"/>
        <v>1</v>
      </c>
      <c r="I671" s="61">
        <f t="shared" si="20"/>
        <v>2</v>
      </c>
    </row>
    <row r="672">
      <c r="A672" s="172">
        <f t="shared" si="18"/>
        <v>2003</v>
      </c>
      <c r="B672" s="61">
        <f>IFERROR(__xludf.DUMMYFUNCTION("COUNTIF(FILTER('SM Repository'!EH:EH, 'SM Repository'!AF:AF = $A672, 'SM Repository'!EH:EH &lt;&gt; """"), ""x"")"),0.0)</f>
        <v>0</v>
      </c>
      <c r="C672" s="61">
        <f>IFERROR(__xludf.DUMMYFUNCTION("COUNTIF(FILTER('SM Repository'!EI:EI, 'SM Repository'!AF:AF = $A672, 'SM Repository'!EI:EI &lt;&gt; """"), ""x"")"),0.0)</f>
        <v>0</v>
      </c>
      <c r="D672" s="61">
        <f>IFERROR(__xludf.DUMMYFUNCTION("COUNTIF(FILTER('SM Repository'!EJ:EJ, 'SM Repository'!AF:AF = $A672, 'SM Repository'!EJ:EJ &lt;&gt; """"), ""x"")"),0.0)</f>
        <v>0</v>
      </c>
      <c r="F672" s="172">
        <f t="shared" si="19"/>
        <v>2003</v>
      </c>
      <c r="G672" s="61">
        <f t="shared" ref="G672:I672" si="21">B672+G671</f>
        <v>1</v>
      </c>
      <c r="H672" s="61">
        <f t="shared" si="21"/>
        <v>1</v>
      </c>
      <c r="I672" s="61">
        <f t="shared" si="21"/>
        <v>2</v>
      </c>
    </row>
    <row r="673">
      <c r="A673" s="172">
        <f t="shared" si="18"/>
        <v>2004</v>
      </c>
      <c r="B673" s="61">
        <f>IFERROR(__xludf.DUMMYFUNCTION("COUNTIF(FILTER('SM Repository'!EH:EH, 'SM Repository'!AF:AF = $A673, 'SM Repository'!EH:EH &lt;&gt; """"), ""x"")"),0.0)</f>
        <v>0</v>
      </c>
      <c r="C673" s="61">
        <f>IFERROR(__xludf.DUMMYFUNCTION("COUNTIF(FILTER('SM Repository'!EI:EI, 'SM Repository'!AF:AF = $A673, 'SM Repository'!EI:EI &lt;&gt; """"), ""x"")"),4.0)</f>
        <v>4</v>
      </c>
      <c r="D673" s="61">
        <f>IFERROR(__xludf.DUMMYFUNCTION("COUNTIF(FILTER('SM Repository'!EJ:EJ, 'SM Repository'!AF:AF = $A673, 'SM Repository'!EJ:EJ &lt;&gt; """"), ""x"")"),0.0)</f>
        <v>0</v>
      </c>
      <c r="F673" s="172">
        <f t="shared" si="19"/>
        <v>2004</v>
      </c>
      <c r="G673" s="61">
        <f t="shared" ref="G673:I673" si="22">B673+G672</f>
        <v>1</v>
      </c>
      <c r="H673" s="61">
        <f t="shared" si="22"/>
        <v>5</v>
      </c>
      <c r="I673" s="61">
        <f t="shared" si="22"/>
        <v>2</v>
      </c>
    </row>
    <row r="674">
      <c r="A674" s="172">
        <f t="shared" si="18"/>
        <v>2005</v>
      </c>
      <c r="B674" s="61">
        <f>IFERROR(__xludf.DUMMYFUNCTION("COUNTIF(FILTER('SM Repository'!EH:EH, 'SM Repository'!AF:AF = $A674, 'SM Repository'!EH:EH &lt;&gt; """"), ""x"")"),6.0)</f>
        <v>6</v>
      </c>
      <c r="C674" s="61">
        <f>IFERROR(__xludf.DUMMYFUNCTION("COUNTIF(FILTER('SM Repository'!EI:EI, 'SM Repository'!AF:AF = $A674, 'SM Repository'!EI:EI &lt;&gt; """"), ""x"")"),3.0)</f>
        <v>3</v>
      </c>
      <c r="D674" s="61">
        <f>IFERROR(__xludf.DUMMYFUNCTION("COUNTIF(FILTER('SM Repository'!EJ:EJ, 'SM Repository'!AF:AF = $A674, 'SM Repository'!EJ:EJ &lt;&gt; """"), ""x"")"),2.0)</f>
        <v>2</v>
      </c>
      <c r="F674" s="172">
        <f t="shared" si="19"/>
        <v>2005</v>
      </c>
      <c r="G674" s="61">
        <f t="shared" ref="G674:I674" si="23">B674+G673</f>
        <v>7</v>
      </c>
      <c r="H674" s="61">
        <f t="shared" si="23"/>
        <v>8</v>
      </c>
      <c r="I674" s="61">
        <f t="shared" si="23"/>
        <v>4</v>
      </c>
    </row>
    <row r="675">
      <c r="A675" s="172">
        <f t="shared" si="18"/>
        <v>2006</v>
      </c>
      <c r="B675" s="61">
        <f>IFERROR(__xludf.DUMMYFUNCTION("COUNTIF(FILTER('SM Repository'!EH:EH, 'SM Repository'!AF:AF = $A675, 'SM Repository'!EH:EH &lt;&gt; """"), ""x"")"),5.0)</f>
        <v>5</v>
      </c>
      <c r="C675" s="61">
        <f>IFERROR(__xludf.DUMMYFUNCTION("COUNTIF(FILTER('SM Repository'!EI:EI, 'SM Repository'!AF:AF = $A675, 'SM Repository'!EI:EI &lt;&gt; """"), ""x"")"),4.0)</f>
        <v>4</v>
      </c>
      <c r="D675" s="61">
        <f>IFERROR(__xludf.DUMMYFUNCTION("COUNTIF(FILTER('SM Repository'!EJ:EJ, 'SM Repository'!AF:AF = $A675, 'SM Repository'!EJ:EJ &lt;&gt; """"), ""x"")"),3.0)</f>
        <v>3</v>
      </c>
      <c r="F675" s="172">
        <f t="shared" si="19"/>
        <v>2006</v>
      </c>
      <c r="G675" s="61">
        <f t="shared" ref="G675:I675" si="24">B675+G674</f>
        <v>12</v>
      </c>
      <c r="H675" s="61">
        <f t="shared" si="24"/>
        <v>12</v>
      </c>
      <c r="I675" s="61">
        <f t="shared" si="24"/>
        <v>7</v>
      </c>
    </row>
    <row r="676">
      <c r="A676" s="172">
        <f t="shared" si="18"/>
        <v>2007</v>
      </c>
      <c r="B676" s="61">
        <f>IFERROR(__xludf.DUMMYFUNCTION("COUNTIF(FILTER('SM Repository'!EH:EH, 'SM Repository'!AF:AF = $A676, 'SM Repository'!EH:EH &lt;&gt; """"), ""x"")"),2.0)</f>
        <v>2</v>
      </c>
      <c r="C676" s="61">
        <f>IFERROR(__xludf.DUMMYFUNCTION("COUNTIF(FILTER('SM Repository'!EI:EI, 'SM Repository'!AF:AF = $A676, 'SM Repository'!EI:EI &lt;&gt; """"), ""x"")"),2.0)</f>
        <v>2</v>
      </c>
      <c r="D676" s="61">
        <f>IFERROR(__xludf.DUMMYFUNCTION("COUNTIF(FILTER('SM Repository'!EJ:EJ, 'SM Repository'!AF:AF = $A676, 'SM Repository'!EJ:EJ &lt;&gt; """"), ""x"")"),1.0)</f>
        <v>1</v>
      </c>
      <c r="F676" s="172">
        <f t="shared" si="19"/>
        <v>2007</v>
      </c>
      <c r="G676" s="61">
        <f t="shared" ref="G676:I676" si="25">B676+G675</f>
        <v>14</v>
      </c>
      <c r="H676" s="61">
        <f t="shared" si="25"/>
        <v>14</v>
      </c>
      <c r="I676" s="61">
        <f t="shared" si="25"/>
        <v>8</v>
      </c>
    </row>
    <row r="677">
      <c r="A677" s="172">
        <f t="shared" si="18"/>
        <v>2008</v>
      </c>
      <c r="B677" s="61">
        <f>IFERROR(__xludf.DUMMYFUNCTION("COUNTIF(FILTER('SM Repository'!EH:EH, 'SM Repository'!AF:AF = $A677, 'SM Repository'!EH:EH &lt;&gt; """"), ""x"")"),2.0)</f>
        <v>2</v>
      </c>
      <c r="C677" s="61">
        <f>IFERROR(__xludf.DUMMYFUNCTION("COUNTIF(FILTER('SM Repository'!EI:EI, 'SM Repository'!AF:AF = $A677, 'SM Repository'!EI:EI &lt;&gt; """"), ""x"")"),11.0)</f>
        <v>11</v>
      </c>
      <c r="D677" s="61">
        <f>IFERROR(__xludf.DUMMYFUNCTION("COUNTIF(FILTER('SM Repository'!EJ:EJ, 'SM Repository'!AF:AF = $A677, 'SM Repository'!EJ:EJ &lt;&gt; """"), ""x"")"),2.0)</f>
        <v>2</v>
      </c>
      <c r="F677" s="172">
        <f t="shared" si="19"/>
        <v>2008</v>
      </c>
      <c r="G677" s="61">
        <f t="shared" ref="G677:I677" si="26">B677+G676</f>
        <v>16</v>
      </c>
      <c r="H677" s="61">
        <f t="shared" si="26"/>
        <v>25</v>
      </c>
      <c r="I677" s="61">
        <f t="shared" si="26"/>
        <v>10</v>
      </c>
    </row>
    <row r="678">
      <c r="A678" s="172">
        <f t="shared" si="18"/>
        <v>2009</v>
      </c>
      <c r="B678" s="61">
        <f>IFERROR(__xludf.DUMMYFUNCTION("COUNTIF(FILTER('SM Repository'!EH:EH, 'SM Repository'!AF:AF = $A678, 'SM Repository'!EH:EH &lt;&gt; """"), ""x"")"),1.0)</f>
        <v>1</v>
      </c>
      <c r="C678" s="61">
        <f>IFERROR(__xludf.DUMMYFUNCTION("COUNTIF(FILTER('SM Repository'!EI:EI, 'SM Repository'!AF:AF = $A678, 'SM Repository'!EI:EI &lt;&gt; """"), ""x"")"),2.0)</f>
        <v>2</v>
      </c>
      <c r="D678" s="61">
        <f>IFERROR(__xludf.DUMMYFUNCTION("COUNTIF(FILTER('SM Repository'!EJ:EJ, 'SM Repository'!AF:AF = $A678, 'SM Repository'!EJ:EJ &lt;&gt; """"), ""x"")"),4.0)</f>
        <v>4</v>
      </c>
      <c r="F678" s="172">
        <f t="shared" si="19"/>
        <v>2009</v>
      </c>
      <c r="G678" s="61">
        <f t="shared" ref="G678:I678" si="27">B678+G677</f>
        <v>17</v>
      </c>
      <c r="H678" s="61">
        <f t="shared" si="27"/>
        <v>27</v>
      </c>
      <c r="I678" s="61">
        <f t="shared" si="27"/>
        <v>14</v>
      </c>
    </row>
    <row r="679">
      <c r="A679" s="172">
        <f t="shared" si="18"/>
        <v>2010</v>
      </c>
      <c r="B679" s="61">
        <f>IFERROR(__xludf.DUMMYFUNCTION("COUNTIF(FILTER('SM Repository'!EH:EH, 'SM Repository'!AF:AF = $A679, 'SM Repository'!EH:EH &lt;&gt; """"), ""x"")"),3.0)</f>
        <v>3</v>
      </c>
      <c r="C679" s="61">
        <f>IFERROR(__xludf.DUMMYFUNCTION("COUNTIF(FILTER('SM Repository'!EI:EI, 'SM Repository'!AF:AF = $A679, 'SM Repository'!EI:EI &lt;&gt; """"), ""x"")"),8.0)</f>
        <v>8</v>
      </c>
      <c r="D679" s="61">
        <f>IFERROR(__xludf.DUMMYFUNCTION("COUNTIF(FILTER('SM Repository'!EJ:EJ, 'SM Repository'!AF:AF = $A679, 'SM Repository'!EJ:EJ &lt;&gt; """"), ""x"")"),2.0)</f>
        <v>2</v>
      </c>
      <c r="F679" s="172">
        <f t="shared" si="19"/>
        <v>2010</v>
      </c>
      <c r="G679" s="61">
        <f t="shared" ref="G679:I679" si="28">B679+G678</f>
        <v>20</v>
      </c>
      <c r="H679" s="61">
        <f t="shared" si="28"/>
        <v>35</v>
      </c>
      <c r="I679" s="61">
        <f t="shared" si="28"/>
        <v>16</v>
      </c>
    </row>
    <row r="680">
      <c r="A680" s="172">
        <f t="shared" si="18"/>
        <v>2011</v>
      </c>
      <c r="B680" s="61">
        <f>IFERROR(__xludf.DUMMYFUNCTION("COUNTIF(FILTER('SM Repository'!EH:EH, 'SM Repository'!AF:AF = $A680, 'SM Repository'!EH:EH &lt;&gt; """"), ""x"")"),2.0)</f>
        <v>2</v>
      </c>
      <c r="C680" s="61">
        <f>IFERROR(__xludf.DUMMYFUNCTION("COUNTIF(FILTER('SM Repository'!EI:EI, 'SM Repository'!AF:AF = $A680, 'SM Repository'!EI:EI &lt;&gt; """"), ""x"")"),7.0)</f>
        <v>7</v>
      </c>
      <c r="D680" s="61">
        <f>IFERROR(__xludf.DUMMYFUNCTION("COUNTIF(FILTER('SM Repository'!EJ:EJ, 'SM Repository'!AF:AF = $A680, 'SM Repository'!EJ:EJ &lt;&gt; """"), ""x"")"),5.0)</f>
        <v>5</v>
      </c>
      <c r="F680" s="172">
        <f t="shared" si="19"/>
        <v>2011</v>
      </c>
      <c r="G680" s="61">
        <f t="shared" ref="G680:I680" si="29">B680+G679</f>
        <v>22</v>
      </c>
      <c r="H680" s="61">
        <f t="shared" si="29"/>
        <v>42</v>
      </c>
      <c r="I680" s="61">
        <f t="shared" si="29"/>
        <v>21</v>
      </c>
    </row>
    <row r="681">
      <c r="A681" s="80">
        <v>2012.0</v>
      </c>
      <c r="B681" s="61">
        <f>IFERROR(__xludf.DUMMYFUNCTION("COUNTIF(FILTER('SM Repository'!EH:EH, 'SM Repository'!AF:AF = $A681, 'SM Repository'!EH:EH &lt;&gt; """"), ""x"")"),0.0)</f>
        <v>0</v>
      </c>
      <c r="C681" s="61">
        <f>IFERROR(__xludf.DUMMYFUNCTION("COUNTIF(FILTER('SM Repository'!EI:EI, 'SM Repository'!AF:AF = $A681, 'SM Repository'!EI:EI &lt;&gt; """"), ""x"")"),0.0)</f>
        <v>0</v>
      </c>
      <c r="D681" s="61">
        <f>IFERROR(__xludf.DUMMYFUNCTION("COUNTIF(FILTER('SM Repository'!EJ:EJ, 'SM Repository'!AF:AF = $A681, 'SM Repository'!EJ:EJ &lt;&gt; """"), ""x"")"),0.0)</f>
        <v>0</v>
      </c>
      <c r="F681" s="80">
        <v>2012.0</v>
      </c>
      <c r="G681" s="61">
        <f t="shared" ref="G681:I681" si="30">B681+G680</f>
        <v>22</v>
      </c>
      <c r="H681" s="61">
        <f t="shared" si="30"/>
        <v>42</v>
      </c>
      <c r="I681" s="61">
        <f t="shared" si="30"/>
        <v>21</v>
      </c>
    </row>
    <row r="682">
      <c r="B682" s="194">
        <f t="shared" ref="B682:D682" si="31">SUM(B668:B681)</f>
        <v>22</v>
      </c>
      <c r="C682" s="194">
        <f t="shared" si="31"/>
        <v>42</v>
      </c>
      <c r="D682" s="194">
        <f t="shared" si="31"/>
        <v>21</v>
      </c>
    </row>
    <row r="695">
      <c r="A695" s="49" t="s">
        <v>1329</v>
      </c>
    </row>
    <row r="696">
      <c r="A696" s="80" t="s">
        <v>1330</v>
      </c>
      <c r="B696" s="61">
        <f>CORREL('SM Repository'!AF3:AF81, 'SM Repository'!EF3:EF81)</f>
        <v>0.3390334653</v>
      </c>
    </row>
    <row r="723">
      <c r="B723" s="86" t="s">
        <v>186</v>
      </c>
      <c r="C723" s="86" t="s">
        <v>187</v>
      </c>
      <c r="D723" s="86" t="s">
        <v>188</v>
      </c>
      <c r="E723" s="86" t="s">
        <v>189</v>
      </c>
      <c r="F723" s="86" t="s">
        <v>190</v>
      </c>
      <c r="G723" s="86" t="s">
        <v>85</v>
      </c>
    </row>
    <row r="724">
      <c r="A724" s="90" t="s">
        <v>191</v>
      </c>
      <c r="B724" s="183">
        <f>IFERROR(__xludf.DUMMYFUNCTION("COUNTIF(FILTER('SM Repository'!$DS$3:$DS$138, 'SM Repository'!DM$3:DM$138 = ""X"", 'SM Repository'!$DS$3:$DS$138 = ""X""), ""X"")"),5.0)</f>
        <v>5</v>
      </c>
      <c r="C724" s="183">
        <f>IFERROR(__xludf.DUMMYFUNCTION("COUNTIF(FILTER('SM Repository'!$DS$3:$DS$138, 'SM Repository'!DN$3:DN$138 = ""X"", 'SM Repository'!$DS$3:$DS$138 = ""X""), ""X"")"),2.0)</f>
        <v>2</v>
      </c>
      <c r="D724" s="183">
        <f>IFERROR(__xludf.DUMMYFUNCTION("COUNTIF(FILTER('SM Repository'!$DS$3:$DS$138, 'SM Repository'!DO$3:DO$138 = ""X"", 'SM Repository'!$DS$3:$DS$138 = ""X""), ""X"")"),5.0)</f>
        <v>5</v>
      </c>
      <c r="E724" s="183">
        <f>IFERROR(__xludf.DUMMYFUNCTION("COUNTIF(FILTER('SM Repository'!$DS$3:$DS$138, 'SM Repository'!DP$3:DP$138 = ""X"", 'SM Repository'!$DS$3:$DS$138 = ""X""), ""X"")"),7.0)</f>
        <v>7</v>
      </c>
      <c r="F724" s="183">
        <f>IFERROR(__xludf.DUMMYFUNCTION("COUNTIF(FILTER('SM Repository'!$DS$3:$DS$138, 'SM Repository'!DQ$3:DQ$138 = ""X"", 'SM Repository'!$DS$3:$DS$138 = ""X""), ""X"")"),2.0)</f>
        <v>2</v>
      </c>
      <c r="G724" s="183">
        <f>IFERROR(__xludf.DUMMYFUNCTION("COUNTIF(FILTER('SM Repository'!$DS$3:$DS$138, 'SM Repository'!DR$3:DR$138 = ""X"", 'SM Repository'!$DS$3:$DS$138 = ""X""), ""X"")"),0.0)</f>
        <v>0</v>
      </c>
    </row>
    <row r="725">
      <c r="A725" s="90" t="s">
        <v>1331</v>
      </c>
      <c r="B725" s="183">
        <f>IFERROR(__xludf.DUMMYFUNCTION("COUNTIF(FILTER('SM Repository'!$DT$3:$DT$138, 'SM Repository'!DM$3:DM$138 = ""X"", 'SM Repository'!$DT$3:$DT$138 = ""X""), ""X"")"),8.0)</f>
        <v>8</v>
      </c>
      <c r="C725" s="183">
        <f>IFERROR(__xludf.DUMMYFUNCTION("COUNTIF(FILTER('SM Repository'!$DT$3:$DT$138, 'SM Repository'!DN$3:DN$138 = ""X"", 'SM Repository'!$DT$3:$DT$138 = ""X""), ""X"")"),5.0)</f>
        <v>5</v>
      </c>
      <c r="D725" s="183">
        <f>IFERROR(__xludf.DUMMYFUNCTION("COUNTIF(FILTER('SM Repository'!$DT$3:$DT$138, 'SM Repository'!DO$3:DO$138 = ""X"", 'SM Repository'!$DT$3:$DT$138 = ""X""), ""X"")"),5.0)</f>
        <v>5</v>
      </c>
      <c r="E725" s="183">
        <f>IFERROR(__xludf.DUMMYFUNCTION("COUNTIF(FILTER('SM Repository'!$DT$3:$DT$138, 'SM Repository'!DP$3:DP$138 = ""X"", 'SM Repository'!$DT$3:$DT$138 = ""X""), ""X"")"),9.0)</f>
        <v>9</v>
      </c>
      <c r="F725" s="183">
        <f>IFERROR(__xludf.DUMMYFUNCTION("COUNTIF(FILTER('SM Repository'!$DT$3:$DT$138, 'SM Repository'!DQ$3:DQ$138 = ""X"", 'SM Repository'!$DT$3:$DT$138 = ""X""), ""X"")"),2.0)</f>
        <v>2</v>
      </c>
      <c r="G725" s="183">
        <f>IFERROR(__xludf.DUMMYFUNCTION("COUNTIF(FILTER('SM Repository'!$DT$3:$DT$138, 'SM Repository'!DR$3:DR$138 = ""X"", 'SM Repository'!$DT$3:$DT$138 = ""X""), ""X"")"),0.0)</f>
        <v>0</v>
      </c>
    </row>
    <row r="726">
      <c r="A726" s="90" t="s">
        <v>193</v>
      </c>
      <c r="B726" s="183">
        <f>IFERROR(__xludf.DUMMYFUNCTION("COUNTIF(FILTER('SM Repository'!$DU$3:$DU$138, 'SM Repository'!DM$3:DM$138 = ""X"", 'SM Repository'!$DU$3:$DU$138 = ""X""), ""X"")"),1.0)</f>
        <v>1</v>
      </c>
      <c r="C726" s="183">
        <f>IFERROR(__xludf.DUMMYFUNCTION("COUNTIF(FILTER('SM Repository'!$DU$3:$DU$138, 'SM Repository'!DN$3:DN$138 = ""X"", 'SM Repository'!$DU$3:$DU$138 = ""X""), ""X"")"),0.0)</f>
        <v>0</v>
      </c>
      <c r="D726" s="183">
        <f>IFERROR(__xludf.DUMMYFUNCTION("COUNTIF(FILTER('SM Repository'!$DU$3:$DU$138, 'SM Repository'!DO$3:DO$138 = ""X"", 'SM Repository'!$DU$3:$DU$138 = ""X""), ""X"")"),1.0)</f>
        <v>1</v>
      </c>
      <c r="E726" s="183">
        <f>IFERROR(__xludf.DUMMYFUNCTION("COUNTIF(FILTER('SM Repository'!$DU$3:$DU$138, 'SM Repository'!DP$3:DP$138 = ""X"", 'SM Repository'!$DU$3:$DU$138 = ""X""), ""X"")"),2.0)</f>
        <v>2</v>
      </c>
      <c r="F726" s="183">
        <f>IFERROR(__xludf.DUMMYFUNCTION("COUNTIF(FILTER('SM Repository'!$DU$3:$DU$138, 'SM Repository'!DQ$3:DQ$138 = ""X"", 'SM Repository'!$DU$3:$DU$138 = ""X""), ""X"")"),0.0)</f>
        <v>0</v>
      </c>
      <c r="G726" s="183">
        <f>IFERROR(__xludf.DUMMYFUNCTION("COUNTIF(FILTER('SM Repository'!$DU$3:$DU$138, 'SM Repository'!DR$3:DR$138 = ""X"", 'SM Repository'!$DU$3:$DU$138 = ""X""), ""X"")"),0.0)</f>
        <v>0</v>
      </c>
    </row>
    <row r="727">
      <c r="A727" s="90" t="s">
        <v>194</v>
      </c>
      <c r="B727" s="183">
        <f>IFERROR(__xludf.DUMMYFUNCTION("COUNTIF(FILTER('SM Repository'!$DV$3:$DV$138, 'SM Repository'!DM$3:DM$138 = ""X"", 'SM Repository'!$DV$3:$DV$138 = ""X""), ""X"")"),0.0)</f>
        <v>0</v>
      </c>
      <c r="C727" s="183">
        <f>IFERROR(__xludf.DUMMYFUNCTION("COUNTIF(FILTER('SM Repository'!$DV$3:$DV$138, 'SM Repository'!DN$3:DN$138 = ""X"", 'SM Repository'!$DV$3:$DV$138 = ""X""), ""X"")"),0.0)</f>
        <v>0</v>
      </c>
      <c r="D727" s="183">
        <f>IFERROR(__xludf.DUMMYFUNCTION("COUNTIF(FILTER('SM Repository'!$DV$3:$DV$138, 'SM Repository'!DO$3:DO$138 = ""X"", 'SM Repository'!$DV$3:$DV$138 = ""X""), ""X"")"),0.0)</f>
        <v>0</v>
      </c>
      <c r="E727" s="183">
        <f>IFERROR(__xludf.DUMMYFUNCTION("COUNTIF(FILTER('SM Repository'!$DV$3:$DV$138, 'SM Repository'!DP$3:DP$138 = ""X"", 'SM Repository'!$DV$3:$DV$138 = ""X""), ""X"")"),0.0)</f>
        <v>0</v>
      </c>
      <c r="F727" s="183">
        <f>IFERROR(__xludf.DUMMYFUNCTION("COUNTIF(FILTER('SM Repository'!$DV$3:$DV$138, 'SM Repository'!DQ$3:DQ$138 = ""X"", 'SM Repository'!$DV$3:$DV$138 = ""X""), ""X"")"),0.0)</f>
        <v>0</v>
      </c>
      <c r="G727" s="183">
        <f>IFERROR(__xludf.DUMMYFUNCTION("COUNTIF(FILTER('SM Repository'!$DV$3:$DV$138, 'SM Repository'!DR$3:DR$138 = ""X"", 'SM Repository'!$DV$3:$DV$138 = ""X""), ""X"")"),0.0)</f>
        <v>0</v>
      </c>
    </row>
    <row r="728">
      <c r="A728" s="90" t="s">
        <v>195</v>
      </c>
      <c r="B728" s="183">
        <f>IFERROR(__xludf.DUMMYFUNCTION("COUNTIF(FILTER('SM Repository'!$DW$3:$DW$138, 'SM Repository'!DM$3:DM$138 = ""X"", 'SM Repository'!$DW$3:$DW$138 = ""X""), ""X"")"),0.0)</f>
        <v>0</v>
      </c>
      <c r="C728" s="183">
        <f>IFERROR(__xludf.DUMMYFUNCTION("COUNTIF(FILTER('SM Repository'!$DW$3:$DW$138, 'SM Repository'!DN$3:DN$138 = ""X"", 'SM Repository'!$DW$3:$DW$138 = ""X""), ""X"")"),0.0)</f>
        <v>0</v>
      </c>
      <c r="D728" s="183">
        <f>IFERROR(__xludf.DUMMYFUNCTION("COUNTIF(FILTER('SM Repository'!$DW$3:$DW$138, 'SM Repository'!DO$3:DO$138 = ""X"", 'SM Repository'!$DW$3:$DW$138 = ""X""), ""X"")"),0.0)</f>
        <v>0</v>
      </c>
      <c r="E728" s="183">
        <f>IFERROR(__xludf.DUMMYFUNCTION("COUNTIF(FILTER('SM Repository'!$DW$3:$DW$138, 'SM Repository'!DP$3:DP$138 = ""X"", 'SM Repository'!$DW$3:$DW$138 = ""X""), ""X"")"),0.0)</f>
        <v>0</v>
      </c>
      <c r="F728" s="183">
        <f>IFERROR(__xludf.DUMMYFUNCTION("COUNTIF(FILTER('SM Repository'!$DW$3:$DW$138, 'SM Repository'!DQ$3:DQ$138 = ""X"", 'SM Repository'!$DW$3:$DW$138 = ""X""), ""X"")"),0.0)</f>
        <v>0</v>
      </c>
      <c r="G728" s="183">
        <f>IFERROR(__xludf.DUMMYFUNCTION("COUNTIF(FILTER('SM Repository'!$DW$3:$DW$138, 'SM Repository'!DR$3:DR$138 = ""X"", 'SM Repository'!$DW$3:$DW$138 = ""X""), ""X"")"),0.0)</f>
        <v>0</v>
      </c>
    </row>
    <row r="729">
      <c r="A729" s="90" t="s">
        <v>1332</v>
      </c>
      <c r="B729" s="183">
        <f>IFERROR(__xludf.DUMMYFUNCTION("COUNTIF(FILTER('SM Repository'!$DX$3:$DX$138, 'SM Repository'!DM$3:DM$138 = ""X"", 'SM Repository'!$DX$3:$DX$138 = ""X""), ""X"")"),0.0)</f>
        <v>0</v>
      </c>
      <c r="C729" s="183">
        <f>IFERROR(__xludf.DUMMYFUNCTION("COUNTIF(FILTER('SM Repository'!$DX$3:$DX$138, 'SM Repository'!DN$3:DN$138 = ""X"", 'SM Repository'!$DX$3:$DX$138 = ""X""), ""X"")"),0.0)</f>
        <v>0</v>
      </c>
      <c r="D729" s="183">
        <f>IFERROR(__xludf.DUMMYFUNCTION("COUNTIF(FILTER('SM Repository'!$DX$3:$DX$138, 'SM Repository'!DO$3:DO$138 = ""X"", 'SM Repository'!$DX$3:$DX$138 = ""X""), ""X"")"),1.0)</f>
        <v>1</v>
      </c>
      <c r="E729" s="183">
        <f>IFERROR(__xludf.DUMMYFUNCTION("COUNTIF(FILTER('SM Repository'!$DX$3:$DX$138, 'SM Repository'!DP$3:DP$138 = ""X"", 'SM Repository'!$DX$3:$DX$138 = ""X""), ""X"")"),1.0)</f>
        <v>1</v>
      </c>
      <c r="F729" s="183">
        <f>IFERROR(__xludf.DUMMYFUNCTION("COUNTIF(FILTER('SM Repository'!$DX$3:$DX$138, 'SM Repository'!DQ$3:DQ$138 = ""X"", 'SM Repository'!$DX$3:$DX$138 = ""X""), ""X"")"),0.0)</f>
        <v>0</v>
      </c>
      <c r="G729" s="183">
        <f>IFERROR(__xludf.DUMMYFUNCTION("COUNTIF(FILTER('SM Repository'!$DX$3:$DX$138, 'SM Repository'!DR$3:DR$138 = ""X"", 'SM Repository'!$DX$3:$DX$138 = ""X""), ""X"")"),0.0)</f>
        <v>0</v>
      </c>
    </row>
    <row r="730">
      <c r="A730" s="90" t="s">
        <v>189</v>
      </c>
      <c r="B730" s="183">
        <f>IFERROR(__xludf.DUMMYFUNCTION("COUNTIF(FILTER('SM Repository'!$DY$3:$DY$138, 'SM Repository'!DM$3:DM$138 = ""X"", 'SM Repository'!$DY$3:$DY$138 = ""X""), ""X"")"),8.0)</f>
        <v>8</v>
      </c>
      <c r="C730" s="183">
        <f>IFERROR(__xludf.DUMMYFUNCTION("COUNTIF(FILTER('SM Repository'!$DY$3:$DY$138, 'SM Repository'!DN$3:DN$138 = ""X"", 'SM Repository'!$DY$3:$DY$138 = ""X""), ""X"")"),6.0)</f>
        <v>6</v>
      </c>
      <c r="D730" s="183">
        <f>IFERROR(__xludf.DUMMYFUNCTION("COUNTIF(FILTER('SM Repository'!$DY$3:$DY$138, 'SM Repository'!DO$3:DO$138 = ""X"", 'SM Repository'!$DY$3:$DY$138 = ""X""), ""X"")"),8.0)</f>
        <v>8</v>
      </c>
      <c r="E730" s="183">
        <f>IFERROR(__xludf.DUMMYFUNCTION("COUNTIF(FILTER('SM Repository'!$DY$3:$DY$138, 'SM Repository'!DP$3:DP$138 = ""X"", 'SM Repository'!$DY$3:$DY$138 = ""X""), ""X"")"),1.0)</f>
        <v>1</v>
      </c>
      <c r="F730" s="183">
        <f>IFERROR(__xludf.DUMMYFUNCTION("COUNTIF(FILTER('SM Repository'!$DY$3:$DY$138, 'SM Repository'!DQ$3:DQ$138 = ""X"", 'SM Repository'!$DY$3:$DY$138 = ""X""), ""X"")"),1.0)</f>
        <v>1</v>
      </c>
      <c r="G730" s="183">
        <f>IFERROR(__xludf.DUMMYFUNCTION("COUNTIF(FILTER('SM Repository'!$DY$3:$DY$138, 'SM Repository'!DR$3:DR$138 = ""X"", 'SM Repository'!$DY$3:$DY$138 = ""X""), ""X"")"),0.0)</f>
        <v>0</v>
      </c>
    </row>
    <row r="731">
      <c r="A731" s="90" t="s">
        <v>190</v>
      </c>
      <c r="B731" s="183">
        <f>IFERROR(__xludf.DUMMYFUNCTION("COUNTIF(FILTER('SM Repository'!$DZ$3:$DZ$138, 'SM Repository'!DM$3:DM$138 = ""X"", 'SM Repository'!$DZ$3:$DZ$138 = ""X""), ""X"")"),3.0)</f>
        <v>3</v>
      </c>
      <c r="C731" s="183">
        <f>IFERROR(__xludf.DUMMYFUNCTION("COUNTIF(FILTER('SM Repository'!$DZ$3:$DZ$138, 'SM Repository'!DN$3:DN$138 = ""X"", 'SM Repository'!$DZ$3:$DZ$138 = ""X""), ""X"")"),0.0)</f>
        <v>0</v>
      </c>
      <c r="D731" s="183">
        <f>IFERROR(__xludf.DUMMYFUNCTION("COUNTIF(FILTER('SM Repository'!$DZ$3:$DZ$138, 'SM Repository'!DO$3:DO$138 = ""X"", 'SM Repository'!$DZ$3:$DZ$138 = ""X""), ""X"")"),1.0)</f>
        <v>1</v>
      </c>
      <c r="E731" s="183">
        <f>IFERROR(__xludf.DUMMYFUNCTION("COUNTIF(FILTER('SM Repository'!$DZ$3:$DZ$138, 'SM Repository'!DP$3:DP$138 = ""X"", 'SM Repository'!$DZ$3:$DZ$138 = ""X""), ""X"")"),2.0)</f>
        <v>2</v>
      </c>
      <c r="F731" s="183">
        <f>IFERROR(__xludf.DUMMYFUNCTION("COUNTIF(FILTER('SM Repository'!$DZ$3:$DZ$138, 'SM Repository'!DQ$3:DQ$138 = ""X"", 'SM Repository'!$DZ$3:$DZ$138 = ""X""), ""X"")"),5.0)</f>
        <v>5</v>
      </c>
      <c r="G731" s="183">
        <f>IFERROR(__xludf.DUMMYFUNCTION("COUNTIF(FILTER('SM Repository'!$DZ$3:$DZ$138, 'SM Repository'!DR$3:DR$138 = ""X"", 'SM Repository'!$DZ$3:$DZ$138 = ""X""), ""X"")"),0.0)</f>
        <v>0</v>
      </c>
    </row>
    <row r="732">
      <c r="A732" s="90" t="s">
        <v>85</v>
      </c>
      <c r="B732" s="183">
        <f>IFERROR(__xludf.DUMMYFUNCTION("COUNTIF(FILTER('SM Repository'!$EA$3:$EA$138, 'SM Repository'!DM$3:DM$138 = ""X"", 'SM Repository'!$EA$3:$EA$138 = ""X""), ""X"")"),1.0)</f>
        <v>1</v>
      </c>
      <c r="C732" s="183">
        <f>IFERROR(__xludf.DUMMYFUNCTION("COUNTIF(FILTER('SM Repository'!$EA$3:$EA$138, 'SM Repository'!DN$3:DN$138 = ""X"", 'SM Repository'!$EA$3:$EA$138 = ""X""), ""X"")"),1.0)</f>
        <v>1</v>
      </c>
      <c r="D732" s="183">
        <f>IFERROR(__xludf.DUMMYFUNCTION("COUNTIF(FILTER('SM Repository'!$EA$3:$EA$138, 'SM Repository'!DO$3:DO$138 = ""X"", 'SM Repository'!$EA$3:$EA$138 = ""X""), ""X"")"),1.0)</f>
        <v>1</v>
      </c>
      <c r="E732" s="183">
        <f>IFERROR(__xludf.DUMMYFUNCTION("COUNTIF(FILTER('SM Repository'!$EA$3:$EA$138, 'SM Repository'!DP$3:DP$138 = ""X"", 'SM Repository'!$EA$3:$EA$138 = ""X""), ""X"")"),0.0)</f>
        <v>0</v>
      </c>
      <c r="F732" s="183">
        <f>IFERROR(__xludf.DUMMYFUNCTION("COUNTIF(FILTER('SM Repository'!$EA$3:$EA$138, 'SM Repository'!DQ$3:DQ$138 = ""X"", 'SM Repository'!$EA$3:$EA$138 = ""X""), ""X"")"),0.0)</f>
        <v>0</v>
      </c>
      <c r="G732" s="183">
        <f>IFERROR(__xludf.DUMMYFUNCTION("COUNTIF(FILTER('SM Repository'!$EA$3:$EA$138, 'SM Repository'!DR$3:DR$138 = ""X"", 'SM Repository'!$EA$3:$EA$138 = ""X""), ""X"")"),0.0)</f>
        <v>0</v>
      </c>
    </row>
  </sheetData>
  <mergeCells count="26">
    <mergeCell ref="A490:E490"/>
    <mergeCell ref="A507:B507"/>
    <mergeCell ref="A529:D529"/>
    <mergeCell ref="A545:B545"/>
    <mergeCell ref="A551:B551"/>
    <mergeCell ref="A569:B569"/>
    <mergeCell ref="A647:B647"/>
    <mergeCell ref="A695:C695"/>
    <mergeCell ref="A654:F654"/>
    <mergeCell ref="C656:E656"/>
    <mergeCell ref="A604:G604"/>
    <mergeCell ref="A624:J624"/>
    <mergeCell ref="A224:B224"/>
    <mergeCell ref="A288:B288"/>
    <mergeCell ref="A312:C312"/>
    <mergeCell ref="A334:F334"/>
    <mergeCell ref="A357:B357"/>
    <mergeCell ref="A407:C407"/>
    <mergeCell ref="A431:B431"/>
    <mergeCell ref="A2:F2"/>
    <mergeCell ref="A29:E29"/>
    <mergeCell ref="A53:B53"/>
    <mergeCell ref="A82:B82"/>
    <mergeCell ref="A111:B111"/>
    <mergeCell ref="A167:D167"/>
    <mergeCell ref="A195:D195"/>
  </mergeCells>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cols>
    <col customWidth="1" min="1" max="1" width="60.88"/>
    <col customWidth="1" min="2" max="2" width="15.13"/>
    <col customWidth="1" hidden="1" min="3" max="11" width="15.13"/>
    <col customWidth="1" min="12" max="12" width="75.5"/>
    <col customWidth="1" min="13" max="22" width="15.13"/>
    <col customWidth="1" min="23" max="23" width="49.5"/>
    <col customWidth="1" min="24" max="141" width="15.13"/>
  </cols>
  <sheetData>
    <row r="1">
      <c r="A1" s="29" t="s">
        <v>1625</v>
      </c>
      <c r="B1" s="235" t="s">
        <v>39</v>
      </c>
      <c r="C1" s="59" t="s">
        <v>53</v>
      </c>
      <c r="D1" s="60" t="s">
        <v>54</v>
      </c>
      <c r="E1" s="60" t="s">
        <v>1370</v>
      </c>
      <c r="F1" s="60" t="s">
        <v>56</v>
      </c>
      <c r="G1" s="60" t="s">
        <v>57</v>
      </c>
      <c r="H1" s="60" t="s">
        <v>58</v>
      </c>
      <c r="I1" s="60" t="s">
        <v>1371</v>
      </c>
      <c r="J1" s="60" t="s">
        <v>60</v>
      </c>
      <c r="K1" s="60" t="s">
        <v>61</v>
      </c>
      <c r="L1" s="57" t="s">
        <v>62</v>
      </c>
      <c r="M1" s="57" t="s">
        <v>1626</v>
      </c>
      <c r="N1" s="62" t="s">
        <v>63</v>
      </c>
      <c r="O1" s="55" t="s">
        <v>67</v>
      </c>
      <c r="P1" s="55" t="s">
        <v>44</v>
      </c>
      <c r="Q1" s="55" t="s">
        <v>68</v>
      </c>
      <c r="R1" s="57" t="s">
        <v>1627</v>
      </c>
      <c r="S1" s="88" t="s">
        <v>102</v>
      </c>
      <c r="T1" s="88" t="s">
        <v>103</v>
      </c>
      <c r="U1" s="88" t="s">
        <v>104</v>
      </c>
      <c r="V1" s="86" t="s">
        <v>1628</v>
      </c>
      <c r="W1" s="86" t="s">
        <v>1629</v>
      </c>
      <c r="X1" s="199" t="s">
        <v>1630</v>
      </c>
      <c r="Y1" s="199" t="s">
        <v>1631</v>
      </c>
      <c r="Z1" s="199" t="s">
        <v>107</v>
      </c>
      <c r="AA1" s="199" t="s">
        <v>108</v>
      </c>
      <c r="AB1" s="199" t="s">
        <v>109</v>
      </c>
      <c r="AC1" s="87" t="s">
        <v>112</v>
      </c>
      <c r="AD1" s="87" t="s">
        <v>113</v>
      </c>
      <c r="AE1" s="200" t="s">
        <v>115</v>
      </c>
      <c r="AF1" s="200" t="s">
        <v>116</v>
      </c>
      <c r="AG1" s="200" t="s">
        <v>117</v>
      </c>
      <c r="AH1" s="199" t="s">
        <v>1632</v>
      </c>
      <c r="AI1" s="199" t="s">
        <v>1633</v>
      </c>
      <c r="AJ1" s="199" t="s">
        <v>1634</v>
      </c>
      <c r="AK1" s="60" t="s">
        <v>118</v>
      </c>
      <c r="AL1" s="60" t="s">
        <v>119</v>
      </c>
      <c r="AM1" s="60" t="s">
        <v>1635</v>
      </c>
      <c r="AN1" s="60" t="s">
        <v>121</v>
      </c>
      <c r="AO1" s="60" t="s">
        <v>1636</v>
      </c>
      <c r="AP1" s="60" t="s">
        <v>85</v>
      </c>
      <c r="AQ1" s="77" t="s">
        <v>126</v>
      </c>
      <c r="AR1" s="77" t="s">
        <v>129</v>
      </c>
      <c r="AS1" s="77" t="s">
        <v>130</v>
      </c>
      <c r="AT1" s="77" t="s">
        <v>131</v>
      </c>
      <c r="AU1" s="77" t="s">
        <v>132</v>
      </c>
      <c r="AV1" s="77" t="s">
        <v>1637</v>
      </c>
      <c r="AW1" s="77" t="s">
        <v>1638</v>
      </c>
      <c r="AX1" s="56" t="s">
        <v>1639</v>
      </c>
      <c r="AY1" s="56" t="s">
        <v>1312</v>
      </c>
      <c r="AZ1" s="56" t="s">
        <v>1640</v>
      </c>
      <c r="BA1" s="57" t="s">
        <v>139</v>
      </c>
      <c r="BB1" s="57" t="s">
        <v>140</v>
      </c>
      <c r="BC1" s="60" t="s">
        <v>1641</v>
      </c>
      <c r="BD1" s="60" t="s">
        <v>160</v>
      </c>
      <c r="BE1" s="60" t="s">
        <v>1642</v>
      </c>
      <c r="BF1" s="85" t="s">
        <v>182</v>
      </c>
      <c r="BG1" s="85" t="s">
        <v>183</v>
      </c>
      <c r="BH1" s="77" t="s">
        <v>184</v>
      </c>
      <c r="BI1" s="77" t="s">
        <v>1319</v>
      </c>
      <c r="BJ1" s="86" t="s">
        <v>1643</v>
      </c>
      <c r="BK1" s="86" t="s">
        <v>187</v>
      </c>
      <c r="BL1" s="86" t="s">
        <v>188</v>
      </c>
      <c r="BM1" s="86" t="s">
        <v>1233</v>
      </c>
      <c r="BN1" s="87" t="s">
        <v>191</v>
      </c>
      <c r="BO1" s="87" t="s">
        <v>1322</v>
      </c>
      <c r="BP1" s="87" t="s">
        <v>193</v>
      </c>
      <c r="BQ1" s="87" t="s">
        <v>194</v>
      </c>
      <c r="BR1" s="87" t="s">
        <v>195</v>
      </c>
      <c r="BS1" s="87" t="s">
        <v>196</v>
      </c>
      <c r="BT1" s="88" t="s">
        <v>197</v>
      </c>
      <c r="BU1" s="88" t="s">
        <v>1644</v>
      </c>
      <c r="BV1" s="90" t="s">
        <v>201</v>
      </c>
      <c r="BW1" s="90" t="s">
        <v>1645</v>
      </c>
      <c r="BX1" s="90" t="s">
        <v>1646</v>
      </c>
      <c r="BY1" s="90" t="s">
        <v>1647</v>
      </c>
      <c r="BZ1" s="85" t="s">
        <v>1648</v>
      </c>
    </row>
    <row r="2">
      <c r="A2" s="80" t="s">
        <v>1417</v>
      </c>
      <c r="B2" s="113" t="s">
        <v>1419</v>
      </c>
      <c r="C2" s="80" t="s">
        <v>301</v>
      </c>
      <c r="D2" s="80" t="s">
        <v>705</v>
      </c>
      <c r="N2" s="61" t="b">
        <f>and(O2,S2)</f>
        <v>0</v>
      </c>
      <c r="O2" s="61" t="b">
        <f>if(AVERAGE(P2:R2)&gt;=5, TRUE, FALSE)</f>
        <v>0</v>
      </c>
      <c r="P2" s="80">
        <v>6.0</v>
      </c>
      <c r="Q2" s="80">
        <v>0.0</v>
      </c>
      <c r="R2" s="80">
        <v>4.0</v>
      </c>
      <c r="S2" s="61" t="b">
        <f>if(AVERAGE(T2:V2)&gt;=5, TRUE, FALSE)</f>
        <v>0</v>
      </c>
      <c r="T2" s="80">
        <v>5.0</v>
      </c>
      <c r="U2" s="80">
        <v>0.0</v>
      </c>
      <c r="W2" s="124" t="s">
        <v>1649</v>
      </c>
      <c r="Z2" s="114" t="s">
        <v>1650</v>
      </c>
      <c r="AA2" s="80" t="s">
        <v>464</v>
      </c>
      <c r="AF2" s="80">
        <v>2009.0</v>
      </c>
      <c r="AG2" s="80" t="s">
        <v>250</v>
      </c>
    </row>
    <row r="3">
      <c r="A3" s="80" t="s">
        <v>1651</v>
      </c>
      <c r="B3" s="113" t="s">
        <v>1652</v>
      </c>
      <c r="C3" s="61" t="b">
        <f t="shared" ref="C3:C5" si="1">and(D3,H3)</f>
        <v>0</v>
      </c>
      <c r="D3" s="61" t="b">
        <f t="shared" ref="D3:D5" si="2">SUM(E3:G3)&gt;=2</f>
        <v>0</v>
      </c>
      <c r="G3" s="80">
        <v>1.0</v>
      </c>
      <c r="H3" s="61" t="b">
        <f t="shared" ref="H3:H5" si="3">SUM(I3:K3)&gt;=2</f>
        <v>0</v>
      </c>
      <c r="K3" s="80">
        <v>1.0</v>
      </c>
      <c r="L3" s="80" t="s">
        <v>1653</v>
      </c>
      <c r="M3" s="80" t="s">
        <v>1654</v>
      </c>
      <c r="N3" s="114" t="s">
        <v>1655</v>
      </c>
      <c r="O3" s="80" t="s">
        <v>1656</v>
      </c>
      <c r="P3" s="80">
        <v>2009.0</v>
      </c>
    </row>
    <row r="4">
      <c r="A4" s="80" t="s">
        <v>1657</v>
      </c>
      <c r="B4" s="113" t="s">
        <v>1658</v>
      </c>
      <c r="C4" s="61" t="b">
        <f t="shared" si="1"/>
        <v>0</v>
      </c>
      <c r="D4" s="61" t="b">
        <f t="shared" si="2"/>
        <v>0</v>
      </c>
      <c r="G4" s="80">
        <v>1.0</v>
      </c>
      <c r="H4" s="61" t="b">
        <f t="shared" si="3"/>
        <v>0</v>
      </c>
      <c r="K4" s="80">
        <v>0.0</v>
      </c>
      <c r="L4" s="80" t="s">
        <v>1659</v>
      </c>
      <c r="M4" s="80" t="s">
        <v>1660</v>
      </c>
      <c r="N4" s="114" t="s">
        <v>1661</v>
      </c>
      <c r="O4" s="80" t="s">
        <v>1598</v>
      </c>
      <c r="P4" s="80">
        <v>2010.0</v>
      </c>
    </row>
    <row r="5">
      <c r="A5" s="80" t="s">
        <v>1662</v>
      </c>
      <c r="B5" s="113" t="s">
        <v>1663</v>
      </c>
      <c r="C5" s="61" t="b">
        <f t="shared" si="1"/>
        <v>0</v>
      </c>
      <c r="D5" s="61" t="b">
        <f t="shared" si="2"/>
        <v>0</v>
      </c>
      <c r="G5" s="80">
        <v>1.0</v>
      </c>
      <c r="H5" s="61" t="b">
        <f t="shared" si="3"/>
        <v>0</v>
      </c>
      <c r="K5" s="80">
        <v>1.0</v>
      </c>
      <c r="M5" s="80" t="s">
        <v>1664</v>
      </c>
      <c r="N5" s="114" t="s">
        <v>1665</v>
      </c>
      <c r="O5" s="80" t="s">
        <v>312</v>
      </c>
      <c r="P5" s="80">
        <v>2006.0</v>
      </c>
    </row>
    <row r="10">
      <c r="A10" s="236" t="s">
        <v>1666</v>
      </c>
      <c r="B10" s="237"/>
      <c r="C10" s="237"/>
      <c r="D10" s="237"/>
      <c r="E10" s="237"/>
      <c r="F10" s="237"/>
      <c r="G10" s="237"/>
      <c r="H10" s="237"/>
      <c r="I10" s="237"/>
      <c r="J10" s="237"/>
      <c r="K10" s="237"/>
      <c r="L10" s="237"/>
      <c r="M10" s="237"/>
      <c r="N10" s="237"/>
      <c r="O10" s="237"/>
      <c r="P10" s="237"/>
      <c r="Q10" s="237"/>
      <c r="R10" s="237"/>
      <c r="S10" s="237"/>
      <c r="T10" s="237"/>
      <c r="U10" s="237"/>
      <c r="V10" s="237"/>
      <c r="W10" s="237"/>
      <c r="X10" s="237"/>
      <c r="Y10" s="237"/>
      <c r="Z10" s="237"/>
      <c r="AA10" s="237"/>
      <c r="AB10" s="237"/>
      <c r="AC10" s="237"/>
      <c r="AD10" s="237"/>
      <c r="AE10" s="237"/>
      <c r="AF10" s="237"/>
      <c r="AG10" s="237"/>
      <c r="AH10" s="237"/>
      <c r="AI10" s="237"/>
      <c r="AJ10" s="237"/>
      <c r="AK10" s="237"/>
      <c r="AL10" s="237"/>
      <c r="AM10" s="237"/>
      <c r="AN10" s="237"/>
      <c r="AO10" s="237"/>
      <c r="AP10" s="237"/>
      <c r="AQ10" s="237"/>
      <c r="AR10" s="237"/>
      <c r="AS10" s="237"/>
      <c r="AT10" s="237"/>
      <c r="AU10" s="237"/>
      <c r="AV10" s="237"/>
      <c r="AW10" s="237"/>
      <c r="AX10" s="237"/>
      <c r="AY10" s="237"/>
      <c r="AZ10" s="237"/>
      <c r="BA10" s="237"/>
      <c r="BB10" s="237"/>
      <c r="BC10" s="237"/>
      <c r="BD10" s="237"/>
      <c r="BE10" s="237"/>
      <c r="BF10" s="237"/>
      <c r="BG10" s="237"/>
      <c r="BH10" s="237"/>
      <c r="BI10" s="237"/>
      <c r="BJ10" s="237"/>
      <c r="BK10" s="237"/>
      <c r="BL10" s="237"/>
      <c r="BM10" s="237"/>
      <c r="BN10" s="237"/>
      <c r="BO10" s="237"/>
      <c r="BP10" s="237"/>
      <c r="BQ10" s="237"/>
      <c r="BR10" s="237"/>
      <c r="BS10" s="237"/>
      <c r="BT10" s="237"/>
      <c r="BU10" s="237"/>
      <c r="BV10" s="237"/>
      <c r="BW10" s="237"/>
      <c r="BX10" s="237"/>
      <c r="BY10" s="237"/>
      <c r="BZ10" s="237"/>
      <c r="CA10" s="237"/>
      <c r="CB10" s="237"/>
      <c r="CC10" s="237"/>
      <c r="CD10" s="237"/>
      <c r="CE10" s="237"/>
      <c r="CF10" s="237"/>
      <c r="CG10" s="237"/>
      <c r="CH10" s="237"/>
      <c r="CI10" s="237"/>
      <c r="CJ10" s="237"/>
      <c r="CK10" s="237"/>
      <c r="CL10" s="237"/>
      <c r="CM10" s="237"/>
      <c r="CN10" s="237"/>
      <c r="CO10" s="237"/>
      <c r="CP10" s="237"/>
      <c r="CQ10" s="237"/>
      <c r="CR10" s="237"/>
      <c r="CS10" s="237"/>
      <c r="CT10" s="237"/>
      <c r="CU10" s="237"/>
      <c r="CV10" s="237"/>
      <c r="CW10" s="237"/>
      <c r="CX10" s="237"/>
      <c r="CY10" s="237"/>
      <c r="CZ10" s="237"/>
      <c r="DA10" s="237"/>
      <c r="DB10" s="237"/>
      <c r="DC10" s="237"/>
      <c r="DD10" s="237"/>
      <c r="DE10" s="237"/>
      <c r="DF10" s="237"/>
      <c r="DG10" s="237"/>
      <c r="DH10" s="237"/>
      <c r="DI10" s="237"/>
      <c r="DJ10" s="237"/>
      <c r="DK10" s="237"/>
      <c r="DL10" s="237"/>
      <c r="DM10" s="237"/>
      <c r="DN10" s="237"/>
      <c r="DO10" s="237"/>
      <c r="DP10" s="237"/>
      <c r="DQ10" s="237"/>
      <c r="DR10" s="237"/>
      <c r="DS10" s="237"/>
      <c r="DT10" s="237"/>
      <c r="DU10" s="237"/>
      <c r="DV10" s="237"/>
      <c r="DW10" s="237"/>
      <c r="DX10" s="237"/>
      <c r="DY10" s="237"/>
      <c r="DZ10" s="237"/>
      <c r="EA10" s="237"/>
      <c r="EB10" s="237"/>
      <c r="EC10" s="237"/>
      <c r="ED10" s="237"/>
      <c r="EE10" s="237"/>
      <c r="EF10" s="237"/>
      <c r="EG10" s="237"/>
      <c r="EH10" s="237"/>
      <c r="EI10" s="237"/>
      <c r="EJ10" s="237"/>
      <c r="EK10" s="237"/>
    </row>
    <row r="11">
      <c r="A11" s="80" t="s">
        <v>1474</v>
      </c>
      <c r="B11" s="113" t="s">
        <v>1667</v>
      </c>
      <c r="C11" s="61" t="b">
        <f>and(D11,H11)</f>
        <v>0</v>
      </c>
      <c r="D11" s="61" t="b">
        <f>SUM(E11:G11)&gt;=2</f>
        <v>0</v>
      </c>
      <c r="G11" s="80">
        <v>1.0</v>
      </c>
      <c r="H11" s="61" t="b">
        <f>SUM(I11:K11)&gt;=2</f>
        <v>0</v>
      </c>
      <c r="M11" s="80" t="s">
        <v>1668</v>
      </c>
      <c r="N11" s="114" t="s">
        <v>1669</v>
      </c>
      <c r="O11" s="80" t="s">
        <v>215</v>
      </c>
      <c r="P11" s="80">
        <v>2010.0</v>
      </c>
    </row>
    <row r="12">
      <c r="A12" s="80" t="s">
        <v>1474</v>
      </c>
      <c r="B12" s="126" t="s">
        <v>1475</v>
      </c>
      <c r="C12" s="80" t="s">
        <v>301</v>
      </c>
      <c r="D12" s="80" t="s">
        <v>1670</v>
      </c>
      <c r="N12" s="61" t="b">
        <f t="shared" ref="N12:N13" si="4">and(O12,S12)</f>
        <v>0</v>
      </c>
      <c r="O12" s="61" t="b">
        <f t="shared" ref="O12:O13" si="5">if(AVERAGE(P12:R12)&gt;=5, TRUE, FALSE)</f>
        <v>0</v>
      </c>
      <c r="P12" s="80">
        <v>9.0</v>
      </c>
      <c r="Q12" s="80">
        <v>2.0</v>
      </c>
      <c r="R12" s="80">
        <v>2.0</v>
      </c>
      <c r="S12" s="61" t="b">
        <f t="shared" ref="S12:S13" si="6">if(AVERAGE(T12:V12)&gt;=5, TRUE, FALSE)</f>
        <v>0</v>
      </c>
      <c r="T12" s="80">
        <v>6.0</v>
      </c>
      <c r="U12" s="80">
        <v>2.0</v>
      </c>
      <c r="V12" s="80">
        <v>2.0</v>
      </c>
      <c r="W12" s="115" t="s">
        <v>1671</v>
      </c>
      <c r="Z12" s="127"/>
    </row>
    <row r="13">
      <c r="A13" s="80" t="s">
        <v>1426</v>
      </c>
      <c r="B13" s="113" t="s">
        <v>1427</v>
      </c>
      <c r="C13" s="80" t="s">
        <v>301</v>
      </c>
      <c r="D13" s="80" t="s">
        <v>1428</v>
      </c>
      <c r="L13" s="80" t="s">
        <v>1672</v>
      </c>
      <c r="N13" s="61" t="b">
        <f t="shared" si="4"/>
        <v>0</v>
      </c>
      <c r="O13" s="61" t="b">
        <f t="shared" si="5"/>
        <v>0</v>
      </c>
      <c r="P13" s="80">
        <v>8.0</v>
      </c>
      <c r="Q13" s="80">
        <v>2.0</v>
      </c>
      <c r="R13" s="80">
        <v>2.0</v>
      </c>
      <c r="S13" s="61" t="b">
        <f t="shared" si="6"/>
        <v>0</v>
      </c>
      <c r="T13" s="80">
        <v>6.0</v>
      </c>
      <c r="U13" s="80">
        <v>0.0</v>
      </c>
      <c r="W13" s="80" t="s">
        <v>1673</v>
      </c>
      <c r="Z13" s="114" t="s">
        <v>1674</v>
      </c>
      <c r="AA13" s="80" t="s">
        <v>1675</v>
      </c>
      <c r="AB13" s="80" t="s">
        <v>217</v>
      </c>
      <c r="AD13" s="80" t="s">
        <v>1610</v>
      </c>
      <c r="AF13" s="80">
        <v>2011.0</v>
      </c>
      <c r="AG13" s="80" t="s">
        <v>250</v>
      </c>
    </row>
    <row r="14">
      <c r="A14" s="80" t="s">
        <v>1676</v>
      </c>
      <c r="B14" s="113" t="s">
        <v>1677</v>
      </c>
      <c r="C14" s="61" t="b">
        <f>and(D14,H14)</f>
        <v>0</v>
      </c>
      <c r="D14" s="61" t="b">
        <f>SUM(E14:G14)&gt;=2</f>
        <v>0</v>
      </c>
      <c r="G14" s="80">
        <v>1.0</v>
      </c>
      <c r="H14" s="61" t="b">
        <f>SUM(I14:K14)&gt;=2</f>
        <v>0</v>
      </c>
      <c r="K14" s="80">
        <v>1.0</v>
      </c>
      <c r="L14" s="80" t="s">
        <v>1678</v>
      </c>
      <c r="M14" s="80" t="s">
        <v>1679</v>
      </c>
      <c r="N14" s="114" t="s">
        <v>348</v>
      </c>
      <c r="O14" s="80" t="s">
        <v>215</v>
      </c>
      <c r="P14" s="80">
        <v>2005.0</v>
      </c>
    </row>
    <row r="15">
      <c r="A15" s="80" t="s">
        <v>1680</v>
      </c>
      <c r="B15" s="113" t="s">
        <v>1487</v>
      </c>
      <c r="C15" s="80" t="s">
        <v>301</v>
      </c>
      <c r="D15" s="80" t="s">
        <v>1681</v>
      </c>
      <c r="E15" s="122"/>
      <c r="N15" s="61" t="b">
        <f>and(O15,S15)</f>
        <v>0</v>
      </c>
      <c r="O15" s="61" t="b">
        <f>if(AVERAGE(P15:R15)&gt;=5, TRUE, FALSE)</f>
        <v>0</v>
      </c>
      <c r="P15" s="80">
        <v>6.0</v>
      </c>
      <c r="Q15" s="80">
        <v>2.0</v>
      </c>
      <c r="R15" s="80">
        <v>2.0</v>
      </c>
      <c r="S15" s="61" t="b">
        <f>if(AVERAGE(T15:V15)&gt;=5, TRUE, FALSE)</f>
        <v>0</v>
      </c>
      <c r="T15" s="80">
        <v>7.0</v>
      </c>
      <c r="U15" s="80">
        <v>2.0</v>
      </c>
      <c r="W15" s="115" t="s">
        <v>1682</v>
      </c>
      <c r="Z15" s="127"/>
    </row>
  </sheetData>
  <conditionalFormatting sqref="AC2">
    <cfRule type="cellIs" dxfId="1" priority="1" operator="equal">
      <formula>0</formula>
    </cfRule>
  </conditionalFormatting>
  <conditionalFormatting sqref="AC12:AC13">
    <cfRule type="cellIs" dxfId="1" priority="2" operator="equal">
      <formula>0</formula>
    </cfRule>
  </conditionalFormatting>
  <conditionalFormatting sqref="AC15">
    <cfRule type="cellIs" dxfId="1" priority="3" operator="equal">
      <formula>0</formula>
    </cfRule>
  </conditionalFormatting>
  <conditionalFormatting sqref="C1">
    <cfRule type="cellIs" dxfId="4" priority="4" operator="equal">
      <formula>"FALSE"</formula>
    </cfRule>
  </conditionalFormatting>
  <conditionalFormatting sqref="C3:C5">
    <cfRule type="cellIs" dxfId="4" priority="5" operator="equal">
      <formula>"FALSE"</formula>
    </cfRule>
  </conditionalFormatting>
  <conditionalFormatting sqref="C11">
    <cfRule type="cellIs" dxfId="4" priority="6" operator="equal">
      <formula>"FALSE"</formula>
    </cfRule>
  </conditionalFormatting>
  <conditionalFormatting sqref="C14">
    <cfRule type="cellIs" dxfId="4" priority="7" operator="equal">
      <formula>"FALSE"</formula>
    </cfRule>
  </conditionalFormatting>
  <conditionalFormatting sqref="N2">
    <cfRule type="cellIs" dxfId="4" priority="8" operator="equal">
      <formula>"FALSE"</formula>
    </cfRule>
  </conditionalFormatting>
  <conditionalFormatting sqref="N12:N13">
    <cfRule type="cellIs" dxfId="4" priority="9" operator="equal">
      <formula>"FALSE"</formula>
    </cfRule>
  </conditionalFormatting>
  <conditionalFormatting sqref="N15">
    <cfRule type="cellIs" dxfId="4" priority="10" operator="equal">
      <formula>"FALSE"</formula>
    </cfRule>
  </conditionalFormatting>
  <conditionalFormatting sqref="P2:V2">
    <cfRule type="cellIs" dxfId="4" priority="11" operator="equal">
      <formula>"FALSE"</formula>
    </cfRule>
  </conditionalFormatting>
  <conditionalFormatting sqref="P12:V13">
    <cfRule type="cellIs" dxfId="4" priority="12" operator="equal">
      <formula>"FALSE"</formula>
    </cfRule>
  </conditionalFormatting>
  <conditionalFormatting sqref="P15:V15">
    <cfRule type="cellIs" dxfId="4" priority="13" operator="equal">
      <formula>"FALSE"</formula>
    </cfRule>
  </conditionalFormatting>
  <conditionalFormatting sqref="C2">
    <cfRule type="containsBlanks" dxfId="3" priority="14">
      <formula>LEN(TRIM(C2))=0</formula>
    </cfRule>
  </conditionalFormatting>
  <conditionalFormatting sqref="C12:C13">
    <cfRule type="containsBlanks" dxfId="3" priority="15">
      <formula>LEN(TRIM(C12))=0</formula>
    </cfRule>
  </conditionalFormatting>
  <conditionalFormatting sqref="C15">
    <cfRule type="containsBlanks" dxfId="3" priority="16">
      <formula>LEN(TRIM(C15))=0</formula>
    </cfRule>
  </conditionalFormatting>
  <conditionalFormatting sqref="E1:E5">
    <cfRule type="containsBlanks" dxfId="3" priority="17">
      <formula>LEN(TRIM(E1))=0</formula>
    </cfRule>
  </conditionalFormatting>
  <conditionalFormatting sqref="E13:E14">
    <cfRule type="containsBlanks" dxfId="3" priority="18">
      <formula>LEN(TRIM(E13))=0</formula>
    </cfRule>
  </conditionalFormatting>
  <conditionalFormatting sqref="F1:G1">
    <cfRule type="containsBlanks" dxfId="3" priority="19">
      <formula>LEN(TRIM(F1))=0</formula>
    </cfRule>
  </conditionalFormatting>
  <conditionalFormatting sqref="F3:G5">
    <cfRule type="containsBlanks" dxfId="3" priority="20">
      <formula>LEN(TRIM(F3))=0</formula>
    </cfRule>
  </conditionalFormatting>
  <conditionalFormatting sqref="E11:G11">
    <cfRule type="containsBlanks" dxfId="3" priority="21">
      <formula>LEN(TRIM(E11))=0</formula>
    </cfRule>
  </conditionalFormatting>
  <conditionalFormatting sqref="F14:G14">
    <cfRule type="containsBlanks" dxfId="3" priority="22">
      <formula>LEN(TRIM(F14))=0</formula>
    </cfRule>
  </conditionalFormatting>
  <conditionalFormatting sqref="I1:K1">
    <cfRule type="containsBlanks" dxfId="3" priority="23">
      <formula>LEN(TRIM(I1))=0</formula>
    </cfRule>
  </conditionalFormatting>
  <conditionalFormatting sqref="I3:K5">
    <cfRule type="containsBlanks" dxfId="3" priority="24">
      <formula>LEN(TRIM(I3))=0</formula>
    </cfRule>
  </conditionalFormatting>
  <conditionalFormatting sqref="I11:K11">
    <cfRule type="containsBlanks" dxfId="3" priority="25">
      <formula>LEN(TRIM(I11))=0</formula>
    </cfRule>
  </conditionalFormatting>
  <conditionalFormatting sqref="I14:K14">
    <cfRule type="containsBlanks" dxfId="3" priority="26">
      <formula>LEN(TRIM(I14))=0</formula>
    </cfRule>
  </conditionalFormatting>
  <conditionalFormatting sqref="C1">
    <cfRule type="cellIs" dxfId="5" priority="27" operator="equal">
      <formula>"TRUE"</formula>
    </cfRule>
  </conditionalFormatting>
  <conditionalFormatting sqref="C3:C5">
    <cfRule type="cellIs" dxfId="5" priority="28" operator="equal">
      <formula>"TRUE"</formula>
    </cfRule>
  </conditionalFormatting>
  <conditionalFormatting sqref="C11">
    <cfRule type="cellIs" dxfId="5" priority="29" operator="equal">
      <formula>"TRUE"</formula>
    </cfRule>
  </conditionalFormatting>
  <conditionalFormatting sqref="C14">
    <cfRule type="cellIs" dxfId="5" priority="30" operator="equal">
      <formula>"TRUE"</formula>
    </cfRule>
  </conditionalFormatting>
  <conditionalFormatting sqref="N2">
    <cfRule type="cellIs" dxfId="5" priority="31" operator="equal">
      <formula>"TRUE"</formula>
    </cfRule>
  </conditionalFormatting>
  <conditionalFormatting sqref="N12:N13">
    <cfRule type="cellIs" dxfId="5" priority="32" operator="equal">
      <formula>"TRUE"</formula>
    </cfRule>
  </conditionalFormatting>
  <conditionalFormatting sqref="N15">
    <cfRule type="cellIs" dxfId="5" priority="33" operator="equal">
      <formula>"TRUE"</formula>
    </cfRule>
  </conditionalFormatting>
  <conditionalFormatting sqref="P2:V2">
    <cfRule type="cellIs" dxfId="5" priority="34" operator="equal">
      <formula>"TRUE"</formula>
    </cfRule>
  </conditionalFormatting>
  <conditionalFormatting sqref="P12:V13">
    <cfRule type="cellIs" dxfId="5" priority="35" operator="equal">
      <formula>"TRUE"</formula>
    </cfRule>
  </conditionalFormatting>
  <conditionalFormatting sqref="P15:V15">
    <cfRule type="cellIs" dxfId="5" priority="36" operator="equal">
      <formula>"TRUE"</formula>
    </cfRule>
  </conditionalFormatting>
  <conditionalFormatting sqref="P2:V2">
    <cfRule type="containsBlanks" dxfId="6" priority="37">
      <formula>LEN(TRIM(P2))=0</formula>
    </cfRule>
  </conditionalFormatting>
  <conditionalFormatting sqref="P12:V13">
    <cfRule type="containsBlanks" dxfId="6" priority="38">
      <formula>LEN(TRIM(P12))=0</formula>
    </cfRule>
  </conditionalFormatting>
  <conditionalFormatting sqref="P15:V15">
    <cfRule type="containsBlanks" dxfId="6" priority="39">
      <formula>LEN(TRIM(P15))=0</formula>
    </cfRule>
  </conditionalFormatting>
  <hyperlinks>
    <hyperlink r:id="rId2" ref="B2"/>
    <hyperlink r:id="rId3" ref="B3"/>
    <hyperlink r:id="rId4" ref="B4"/>
    <hyperlink r:id="rId5" ref="B5"/>
    <hyperlink r:id="rId6" ref="B11"/>
    <hyperlink r:id="rId7" ref="B12"/>
    <hyperlink r:id="rId8" ref="B13"/>
    <hyperlink r:id="rId9" ref="B14"/>
    <hyperlink r:id="rId10" ref="B15"/>
  </hyperlinks>
  <drawing r:id="rId11"/>
  <legacyDrawing r:id="rId1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cols>
    <col customWidth="1" min="1" max="1" width="66.63"/>
    <col customWidth="1" min="2" max="2" width="15.13"/>
    <col customWidth="1" min="3" max="3" width="30.75"/>
    <col customWidth="1" min="4" max="4" width="8.63"/>
    <col customWidth="1" min="5" max="11" width="8.5"/>
    <col customWidth="1" min="12" max="12" width="41.63"/>
    <col customWidth="1" min="13" max="13" width="56.63"/>
    <col customWidth="1" min="14" max="14" width="74.0"/>
    <col customWidth="1" min="15" max="15" width="56.13"/>
    <col customWidth="1" min="16" max="22" width="15.13"/>
    <col customWidth="1" min="23" max="23" width="68.13"/>
    <col customWidth="1" min="24" max="24" width="57.25"/>
    <col customWidth="1" min="25" max="134" width="15.13"/>
    <col customWidth="1" min="135" max="135" width="55.75"/>
    <col customWidth="1" min="136" max="181" width="15.13"/>
  </cols>
  <sheetData>
    <row r="1" ht="1.5" customHeight="1">
      <c r="A1" s="238" t="s">
        <v>1625</v>
      </c>
      <c r="B1" s="57" t="s">
        <v>1683</v>
      </c>
      <c r="C1" s="57" t="s">
        <v>1684</v>
      </c>
      <c r="D1" s="57" t="s">
        <v>1685</v>
      </c>
      <c r="E1" s="239" t="s">
        <v>1686</v>
      </c>
      <c r="F1" s="239" t="s">
        <v>1687</v>
      </c>
      <c r="G1" s="239" t="s">
        <v>1688</v>
      </c>
      <c r="H1" s="239" t="s">
        <v>1689</v>
      </c>
      <c r="I1" s="239" t="s">
        <v>1690</v>
      </c>
      <c r="J1" s="239" t="s">
        <v>1691</v>
      </c>
      <c r="K1" s="239" t="s">
        <v>1692</v>
      </c>
      <c r="L1" s="57" t="s">
        <v>1626</v>
      </c>
      <c r="M1" s="239" t="s">
        <v>63</v>
      </c>
      <c r="N1" s="57" t="s">
        <v>67</v>
      </c>
      <c r="O1" s="57" t="s">
        <v>44</v>
      </c>
      <c r="P1" s="57" t="s">
        <v>1627</v>
      </c>
      <c r="Q1" s="240"/>
      <c r="T1" s="240"/>
      <c r="U1" s="240"/>
      <c r="V1" s="240"/>
      <c r="W1" s="240"/>
      <c r="X1" s="240"/>
      <c r="Y1" s="240"/>
      <c r="Z1" s="240"/>
      <c r="AA1" s="240"/>
    </row>
    <row r="2" ht="4.5" customHeight="1">
      <c r="A2" s="241" t="s">
        <v>1693</v>
      </c>
      <c r="B2" s="242"/>
      <c r="C2" s="241" t="s">
        <v>1694</v>
      </c>
      <c r="D2" s="243" t="b">
        <f t="shared" ref="D2:D12" si="1">sum(E2:G2) &gt;=2</f>
        <v>0</v>
      </c>
      <c r="E2" s="241">
        <v>0.0</v>
      </c>
      <c r="F2" s="241">
        <v>0.0</v>
      </c>
      <c r="G2" s="242"/>
      <c r="H2" s="243" t="b">
        <f t="shared" ref="H2:H12" si="2">sum(I2:K2) &gt;=2</f>
        <v>0</v>
      </c>
      <c r="I2" s="242"/>
      <c r="J2" s="242"/>
      <c r="K2" s="242"/>
      <c r="L2" s="241" t="s">
        <v>1695</v>
      </c>
      <c r="M2" s="241" t="s">
        <v>1696</v>
      </c>
      <c r="N2" s="242"/>
      <c r="O2" s="242"/>
      <c r="P2" s="242"/>
      <c r="Q2" s="242"/>
      <c r="R2" s="242"/>
      <c r="S2" s="242"/>
      <c r="T2" s="242"/>
      <c r="U2" s="242"/>
      <c r="V2" s="242"/>
      <c r="W2" s="242"/>
      <c r="X2" s="242"/>
      <c r="Y2" s="242"/>
      <c r="Z2" s="242"/>
      <c r="AA2" s="242"/>
      <c r="AB2" s="242"/>
    </row>
    <row r="3">
      <c r="A3" s="241" t="s">
        <v>1697</v>
      </c>
      <c r="B3" s="242"/>
      <c r="C3" s="241" t="s">
        <v>1698</v>
      </c>
      <c r="D3" s="243" t="b">
        <f t="shared" si="1"/>
        <v>0</v>
      </c>
      <c r="E3" s="241">
        <v>0.0</v>
      </c>
      <c r="F3" s="241">
        <v>0.0</v>
      </c>
      <c r="G3" s="242"/>
      <c r="H3" s="243" t="b">
        <f t="shared" si="2"/>
        <v>0</v>
      </c>
      <c r="I3" s="242"/>
      <c r="J3" s="242"/>
      <c r="K3" s="242"/>
      <c r="L3" s="241" t="s">
        <v>1699</v>
      </c>
      <c r="M3" s="241" t="s">
        <v>1700</v>
      </c>
      <c r="N3" s="242"/>
      <c r="O3" s="242"/>
      <c r="P3" s="242"/>
      <c r="Q3" s="242"/>
      <c r="R3" s="242"/>
      <c r="S3" s="242"/>
      <c r="T3" s="242"/>
      <c r="U3" s="242"/>
      <c r="V3" s="242"/>
      <c r="W3" s="242"/>
      <c r="X3" s="242"/>
      <c r="Y3" s="242"/>
      <c r="Z3" s="242"/>
      <c r="AA3" s="242"/>
      <c r="AB3" s="242"/>
    </row>
    <row r="4">
      <c r="A4" s="241" t="s">
        <v>1701</v>
      </c>
      <c r="B4" s="242"/>
      <c r="C4" s="241" t="s">
        <v>1702</v>
      </c>
      <c r="D4" s="243" t="b">
        <f t="shared" si="1"/>
        <v>0</v>
      </c>
      <c r="E4" s="241">
        <v>0.0</v>
      </c>
      <c r="F4" s="242"/>
      <c r="G4" s="242"/>
      <c r="H4" s="243" t="b">
        <f t="shared" si="2"/>
        <v>0</v>
      </c>
      <c r="I4" s="242"/>
      <c r="J4" s="242"/>
      <c r="K4" s="242"/>
      <c r="L4" s="241" t="s">
        <v>1703</v>
      </c>
      <c r="M4" s="241" t="s">
        <v>1704</v>
      </c>
      <c r="N4" s="242"/>
      <c r="O4" s="242"/>
      <c r="P4" s="242"/>
      <c r="Q4" s="242"/>
      <c r="R4" s="242"/>
      <c r="S4" s="242"/>
      <c r="T4" s="242"/>
      <c r="U4" s="242"/>
      <c r="V4" s="242"/>
      <c r="W4" s="242"/>
      <c r="X4" s="242"/>
      <c r="Y4" s="242"/>
      <c r="Z4" s="242"/>
      <c r="AA4" s="242"/>
      <c r="AB4" s="242"/>
    </row>
    <row r="5">
      <c r="A5" s="241" t="s">
        <v>1705</v>
      </c>
      <c r="B5" s="242"/>
      <c r="C5" s="241" t="s">
        <v>1706</v>
      </c>
      <c r="D5" s="243" t="b">
        <f t="shared" si="1"/>
        <v>0</v>
      </c>
      <c r="E5" s="241">
        <v>0.0</v>
      </c>
      <c r="F5" s="241">
        <v>0.0</v>
      </c>
      <c r="G5" s="242"/>
      <c r="H5" s="243" t="b">
        <f t="shared" si="2"/>
        <v>0</v>
      </c>
      <c r="I5" s="242"/>
      <c r="J5" s="242"/>
      <c r="K5" s="242"/>
      <c r="L5" s="241" t="s">
        <v>1707</v>
      </c>
      <c r="M5" s="241" t="s">
        <v>1708</v>
      </c>
      <c r="N5" s="242"/>
      <c r="O5" s="242"/>
      <c r="P5" s="242"/>
      <c r="Q5" s="242"/>
      <c r="R5" s="242"/>
      <c r="S5" s="242"/>
      <c r="T5" s="242"/>
      <c r="U5" s="242"/>
      <c r="V5" s="242"/>
      <c r="W5" s="242"/>
      <c r="X5" s="242"/>
      <c r="Y5" s="242"/>
      <c r="Z5" s="242"/>
      <c r="AA5" s="242"/>
      <c r="AB5" s="242"/>
    </row>
    <row r="6">
      <c r="A6" s="241" t="s">
        <v>1709</v>
      </c>
      <c r="B6" s="242"/>
      <c r="C6" s="241" t="s">
        <v>1710</v>
      </c>
      <c r="D6" s="243" t="b">
        <f t="shared" si="1"/>
        <v>0</v>
      </c>
      <c r="E6" s="241">
        <v>0.0</v>
      </c>
      <c r="F6" s="241">
        <v>0.0</v>
      </c>
      <c r="G6" s="242"/>
      <c r="H6" s="243" t="b">
        <f t="shared" si="2"/>
        <v>0</v>
      </c>
      <c r="I6" s="242"/>
      <c r="J6" s="242"/>
      <c r="K6" s="242"/>
      <c r="L6" s="241" t="s">
        <v>1711</v>
      </c>
      <c r="M6" s="241" t="s">
        <v>1712</v>
      </c>
      <c r="N6" s="242"/>
      <c r="O6" s="242"/>
      <c r="P6" s="242"/>
      <c r="Q6" s="242"/>
      <c r="R6" s="242"/>
      <c r="S6" s="242"/>
      <c r="T6" s="242"/>
      <c r="U6" s="242"/>
      <c r="V6" s="242"/>
      <c r="W6" s="242"/>
      <c r="X6" s="242"/>
      <c r="Y6" s="242"/>
      <c r="Z6" s="242"/>
      <c r="AA6" s="242"/>
      <c r="AB6" s="242"/>
    </row>
    <row r="7">
      <c r="A7" s="241" t="s">
        <v>1713</v>
      </c>
      <c r="B7" s="242"/>
      <c r="C7" s="241" t="s">
        <v>1714</v>
      </c>
      <c r="D7" s="243" t="b">
        <f t="shared" si="1"/>
        <v>0</v>
      </c>
      <c r="E7" s="241">
        <v>0.0</v>
      </c>
      <c r="F7" s="241">
        <v>0.0</v>
      </c>
      <c r="G7" s="242"/>
      <c r="H7" s="243" t="b">
        <f t="shared" si="2"/>
        <v>0</v>
      </c>
      <c r="I7" s="242"/>
      <c r="J7" s="242"/>
      <c r="K7" s="242"/>
      <c r="L7" s="241" t="s">
        <v>1715</v>
      </c>
      <c r="M7" s="241" t="s">
        <v>1716</v>
      </c>
      <c r="N7" s="242"/>
      <c r="O7" s="242"/>
      <c r="P7" s="242"/>
      <c r="Q7" s="242"/>
      <c r="R7" s="242"/>
      <c r="S7" s="242"/>
      <c r="T7" s="242"/>
      <c r="U7" s="242"/>
      <c r="V7" s="242"/>
      <c r="W7" s="242"/>
      <c r="X7" s="242"/>
      <c r="Y7" s="242"/>
      <c r="Z7" s="242"/>
      <c r="AA7" s="242"/>
      <c r="AB7" s="242"/>
    </row>
    <row r="8">
      <c r="A8" s="241" t="s">
        <v>1717</v>
      </c>
      <c r="B8" s="242"/>
      <c r="C8" s="241" t="s">
        <v>1718</v>
      </c>
      <c r="D8" s="243" t="b">
        <f t="shared" si="1"/>
        <v>0</v>
      </c>
      <c r="E8" s="241">
        <v>0.0</v>
      </c>
      <c r="F8" s="241">
        <v>0.0</v>
      </c>
      <c r="G8" s="242"/>
      <c r="H8" s="243" t="b">
        <f t="shared" si="2"/>
        <v>0</v>
      </c>
      <c r="I8" s="242"/>
      <c r="J8" s="242"/>
      <c r="K8" s="242"/>
      <c r="L8" s="241" t="s">
        <v>1719</v>
      </c>
      <c r="M8" s="241" t="s">
        <v>1720</v>
      </c>
      <c r="N8" s="242"/>
      <c r="O8" s="242"/>
      <c r="P8" s="242"/>
      <c r="Q8" s="242"/>
      <c r="R8" s="242"/>
      <c r="S8" s="242"/>
      <c r="T8" s="242"/>
      <c r="U8" s="242"/>
      <c r="V8" s="242"/>
      <c r="W8" s="242"/>
      <c r="X8" s="242"/>
      <c r="Y8" s="242"/>
      <c r="Z8" s="242"/>
      <c r="AA8" s="242"/>
      <c r="AB8" s="242"/>
    </row>
    <row r="9">
      <c r="A9" s="241" t="s">
        <v>1721</v>
      </c>
      <c r="B9" s="242"/>
      <c r="C9" s="241" t="s">
        <v>1714</v>
      </c>
      <c r="D9" s="243" t="b">
        <f t="shared" si="1"/>
        <v>0</v>
      </c>
      <c r="E9" s="241">
        <v>0.0</v>
      </c>
      <c r="F9" s="241">
        <v>0.0</v>
      </c>
      <c r="G9" s="242"/>
      <c r="H9" s="243" t="b">
        <f t="shared" si="2"/>
        <v>0</v>
      </c>
      <c r="I9" s="242"/>
      <c r="J9" s="242"/>
      <c r="K9" s="242"/>
      <c r="L9" s="241" t="s">
        <v>1722</v>
      </c>
      <c r="M9" s="241" t="s">
        <v>1723</v>
      </c>
      <c r="N9" s="242"/>
      <c r="O9" s="242"/>
      <c r="P9" s="242"/>
      <c r="Q9" s="242"/>
      <c r="R9" s="242"/>
      <c r="S9" s="242"/>
      <c r="T9" s="242"/>
      <c r="U9" s="242"/>
      <c r="V9" s="242"/>
      <c r="W9" s="242"/>
      <c r="X9" s="242"/>
      <c r="Y9" s="242"/>
      <c r="Z9" s="242"/>
      <c r="AA9" s="242"/>
      <c r="AB9" s="242"/>
    </row>
    <row r="10">
      <c r="A10" s="241" t="s">
        <v>1724</v>
      </c>
      <c r="B10" s="242"/>
      <c r="C10" s="241" t="s">
        <v>1714</v>
      </c>
      <c r="D10" s="243" t="b">
        <f t="shared" si="1"/>
        <v>0</v>
      </c>
      <c r="E10" s="241">
        <v>0.0</v>
      </c>
      <c r="F10" s="241">
        <v>0.0</v>
      </c>
      <c r="G10" s="242"/>
      <c r="H10" s="243" t="b">
        <f t="shared" si="2"/>
        <v>0</v>
      </c>
      <c r="I10" s="242"/>
      <c r="J10" s="242"/>
      <c r="K10" s="242"/>
      <c r="L10" s="241" t="s">
        <v>1725</v>
      </c>
      <c r="M10" s="241" t="s">
        <v>1726</v>
      </c>
      <c r="N10" s="242"/>
      <c r="O10" s="242"/>
      <c r="P10" s="242"/>
      <c r="Q10" s="242"/>
      <c r="R10" s="242"/>
      <c r="S10" s="242"/>
      <c r="T10" s="242"/>
      <c r="U10" s="242"/>
      <c r="V10" s="242"/>
      <c r="W10" s="242"/>
      <c r="X10" s="242"/>
      <c r="Y10" s="242"/>
      <c r="Z10" s="242"/>
      <c r="AA10" s="242"/>
      <c r="AB10" s="242"/>
    </row>
    <row r="11">
      <c r="A11" s="241" t="s">
        <v>1727</v>
      </c>
      <c r="B11" s="242"/>
      <c r="C11" s="241" t="s">
        <v>1728</v>
      </c>
      <c r="D11" s="243" t="b">
        <f t="shared" si="1"/>
        <v>0</v>
      </c>
      <c r="E11" s="242"/>
      <c r="F11" s="241">
        <v>0.0</v>
      </c>
      <c r="G11" s="242"/>
      <c r="H11" s="243" t="b">
        <f t="shared" si="2"/>
        <v>0</v>
      </c>
      <c r="I11" s="242"/>
      <c r="J11" s="242"/>
      <c r="K11" s="242"/>
      <c r="L11" s="241" t="s">
        <v>1729</v>
      </c>
      <c r="M11" s="241" t="s">
        <v>1730</v>
      </c>
      <c r="N11" s="242"/>
      <c r="O11" s="242"/>
      <c r="P11" s="242"/>
      <c r="Q11" s="242"/>
      <c r="R11" s="242"/>
      <c r="S11" s="242"/>
      <c r="T11" s="242"/>
      <c r="U11" s="242"/>
      <c r="V11" s="242"/>
      <c r="W11" s="242"/>
      <c r="X11" s="242"/>
      <c r="Y11" s="242"/>
      <c r="Z11" s="242"/>
      <c r="AA11" s="242"/>
      <c r="AB11" s="242"/>
    </row>
    <row r="12">
      <c r="A12" s="114" t="s">
        <v>1731</v>
      </c>
      <c r="B12" s="127"/>
      <c r="C12" s="114" t="s">
        <v>1714</v>
      </c>
      <c r="D12" s="61" t="b">
        <f t="shared" si="1"/>
        <v>0</v>
      </c>
      <c r="E12" s="127"/>
      <c r="F12" s="114">
        <v>0.0</v>
      </c>
      <c r="G12" s="127"/>
      <c r="H12" s="244" t="b">
        <f t="shared" si="2"/>
        <v>0</v>
      </c>
      <c r="I12" s="127"/>
      <c r="J12" s="127"/>
      <c r="K12" s="127"/>
      <c r="L12" s="245" t="s">
        <v>1732</v>
      </c>
      <c r="M12" s="246" t="s">
        <v>1733</v>
      </c>
      <c r="N12" s="247"/>
      <c r="O12" s="247"/>
      <c r="P12" s="248"/>
      <c r="Q12" s="248"/>
      <c r="R12" s="248"/>
      <c r="S12" s="248"/>
      <c r="T12" s="248"/>
      <c r="U12" s="248"/>
      <c r="V12" s="248"/>
      <c r="W12" s="248"/>
      <c r="X12" s="248"/>
      <c r="Y12" s="248"/>
      <c r="Z12" s="248"/>
      <c r="AA12" s="248"/>
    </row>
    <row r="13">
      <c r="A13" s="127"/>
      <c r="E13" s="127"/>
      <c r="F13" s="127"/>
      <c r="G13" s="127"/>
      <c r="H13" s="127"/>
      <c r="I13" s="127"/>
      <c r="J13" s="127"/>
      <c r="K13" s="127"/>
    </row>
    <row r="14">
      <c r="A14" s="80" t="s">
        <v>1734</v>
      </c>
      <c r="B14" s="229"/>
      <c r="C14" s="80" t="s">
        <v>1735</v>
      </c>
      <c r="J14" s="80">
        <v>0.0</v>
      </c>
      <c r="K14" s="80" t="s">
        <v>1736</v>
      </c>
      <c r="L14" s="80" t="s">
        <v>1737</v>
      </c>
      <c r="M14" s="80" t="s">
        <v>1738</v>
      </c>
      <c r="N14" s="80" t="s">
        <v>312</v>
      </c>
      <c r="O14" s="80">
        <v>2006.0</v>
      </c>
    </row>
    <row r="15">
      <c r="A15" s="80" t="s">
        <v>1739</v>
      </c>
      <c r="C15" s="80" t="s">
        <v>1740</v>
      </c>
      <c r="F15" s="80">
        <v>1.0</v>
      </c>
      <c r="G15" s="61" t="b">
        <f>SUM(H15:J15)&gt;=2</f>
        <v>0</v>
      </c>
      <c r="K15" s="80" t="s">
        <v>1740</v>
      </c>
      <c r="L15" s="80" t="s">
        <v>1741</v>
      </c>
      <c r="M15" s="114" t="s">
        <v>1742</v>
      </c>
      <c r="N15" s="80" t="s">
        <v>1743</v>
      </c>
      <c r="O15" s="80">
        <v>2002.0</v>
      </c>
    </row>
    <row r="17">
      <c r="A17" s="80" t="s">
        <v>1744</v>
      </c>
      <c r="B17" s="113" t="s">
        <v>1745</v>
      </c>
      <c r="C17" s="61" t="b">
        <f t="shared" ref="C17:C19" si="3">and(D17,H17)</f>
        <v>1</v>
      </c>
      <c r="D17" s="61" t="b">
        <f t="shared" ref="D17:D19" si="4">SUM(E17:G17)&gt;=2</f>
        <v>1</v>
      </c>
      <c r="E17" s="80">
        <v>1.0</v>
      </c>
      <c r="F17" s="80">
        <v>1.0</v>
      </c>
      <c r="G17" s="80">
        <v>1.0</v>
      </c>
      <c r="H17" s="61" t="b">
        <f t="shared" ref="H17:H19" si="5">SUM(I17:K17)&gt;=2</f>
        <v>1</v>
      </c>
      <c r="I17" s="80">
        <v>1.0</v>
      </c>
      <c r="J17" s="80">
        <v>1.0</v>
      </c>
      <c r="K17" s="80">
        <v>1.0</v>
      </c>
      <c r="N17" s="114" t="s">
        <v>1746</v>
      </c>
      <c r="P17" s="80">
        <v>2009.0</v>
      </c>
      <c r="R17" s="80" t="s">
        <v>1747</v>
      </c>
    </row>
    <row r="18">
      <c r="A18" s="80" t="s">
        <v>1748</v>
      </c>
      <c r="B18" s="113" t="s">
        <v>1749</v>
      </c>
      <c r="C18" s="61" t="b">
        <f t="shared" si="3"/>
        <v>1</v>
      </c>
      <c r="D18" s="61" t="b">
        <f t="shared" si="4"/>
        <v>1</v>
      </c>
      <c r="E18" s="80">
        <v>0.0</v>
      </c>
      <c r="F18" s="80">
        <v>1.0</v>
      </c>
      <c r="G18" s="80">
        <v>1.0</v>
      </c>
      <c r="H18" s="61" t="b">
        <f t="shared" si="5"/>
        <v>1</v>
      </c>
      <c r="I18" s="80">
        <v>0.0</v>
      </c>
      <c r="J18" s="80">
        <v>1.0</v>
      </c>
      <c r="K18" s="80">
        <v>1.0</v>
      </c>
      <c r="L18" s="115" t="s">
        <v>1750</v>
      </c>
      <c r="M18" s="80" t="s">
        <v>1751</v>
      </c>
      <c r="N18" s="114" t="s">
        <v>1752</v>
      </c>
      <c r="O18" s="80" t="s">
        <v>249</v>
      </c>
      <c r="P18" s="80">
        <v>2003.0</v>
      </c>
    </row>
    <row r="19">
      <c r="A19" s="80" t="s">
        <v>1753</v>
      </c>
      <c r="B19" s="113" t="s">
        <v>1754</v>
      </c>
      <c r="C19" s="61" t="b">
        <f t="shared" si="3"/>
        <v>0</v>
      </c>
      <c r="D19" s="61" t="b">
        <f t="shared" si="4"/>
        <v>0</v>
      </c>
      <c r="E19" s="80">
        <v>0.0</v>
      </c>
      <c r="F19" s="80">
        <v>1.0</v>
      </c>
      <c r="H19" s="61" t="b">
        <f t="shared" si="5"/>
        <v>0</v>
      </c>
      <c r="I19" s="80">
        <v>0.0</v>
      </c>
      <c r="J19" s="80">
        <v>1.0</v>
      </c>
      <c r="L19" s="80" t="s">
        <v>1755</v>
      </c>
      <c r="M19" s="80" t="s">
        <v>1756</v>
      </c>
      <c r="N19" s="114" t="s">
        <v>348</v>
      </c>
      <c r="O19" s="80" t="s">
        <v>334</v>
      </c>
      <c r="P19" s="80">
        <v>2001.0</v>
      </c>
    </row>
    <row r="20">
      <c r="A20" s="49" t="s">
        <v>1757</v>
      </c>
      <c r="D20" s="249"/>
      <c r="E20" s="249"/>
      <c r="F20" s="249"/>
      <c r="G20" s="249"/>
      <c r="H20" s="249"/>
      <c r="I20" s="249"/>
      <c r="J20" s="249"/>
      <c r="K20" s="249"/>
      <c r="L20" s="249"/>
      <c r="M20" s="249"/>
      <c r="N20" s="249"/>
      <c r="O20" s="249"/>
      <c r="P20" s="249"/>
      <c r="Q20" s="249"/>
      <c r="R20" s="249"/>
      <c r="S20" s="249"/>
      <c r="T20" s="249"/>
      <c r="U20" s="249"/>
      <c r="V20" s="249"/>
      <c r="W20" s="249"/>
      <c r="X20" s="249"/>
      <c r="Y20" s="249"/>
      <c r="Z20" s="249"/>
      <c r="AA20" s="249"/>
      <c r="AB20" s="249"/>
      <c r="AC20" s="249"/>
      <c r="AD20" s="249"/>
      <c r="AE20" s="249"/>
      <c r="AF20" s="249"/>
      <c r="AG20" s="249"/>
      <c r="AH20" s="249"/>
      <c r="AI20" s="249"/>
      <c r="AJ20" s="249"/>
      <c r="AK20" s="249"/>
      <c r="AL20" s="249"/>
      <c r="AM20" s="249"/>
      <c r="AN20" s="249"/>
      <c r="AO20" s="249"/>
      <c r="AP20" s="249"/>
      <c r="AQ20" s="249"/>
      <c r="AR20" s="249"/>
      <c r="AS20" s="249"/>
      <c r="AT20" s="249"/>
      <c r="AU20" s="249"/>
      <c r="AV20" s="249"/>
      <c r="AW20" s="249"/>
      <c r="AX20" s="249"/>
      <c r="AY20" s="249"/>
      <c r="AZ20" s="249"/>
      <c r="BA20" s="249"/>
      <c r="BB20" s="249"/>
      <c r="BC20" s="249"/>
      <c r="BD20" s="249"/>
      <c r="BE20" s="249"/>
      <c r="BF20" s="249"/>
      <c r="BG20" s="249"/>
      <c r="BH20" s="249"/>
      <c r="BI20" s="249"/>
      <c r="BJ20" s="249"/>
      <c r="BK20" s="249"/>
      <c r="BL20" s="249"/>
      <c r="BM20" s="249"/>
      <c r="BN20" s="249"/>
      <c r="BO20" s="249"/>
      <c r="BP20" s="249"/>
      <c r="BQ20" s="249"/>
      <c r="BR20" s="249"/>
      <c r="BS20" s="249"/>
      <c r="BT20" s="249"/>
      <c r="BU20" s="249"/>
      <c r="BV20" s="249"/>
      <c r="BW20" s="249"/>
      <c r="BX20" s="249"/>
      <c r="BY20" s="249"/>
      <c r="BZ20" s="249"/>
      <c r="CA20" s="249"/>
      <c r="CB20" s="249"/>
      <c r="CC20" s="249"/>
      <c r="CD20" s="249"/>
      <c r="CE20" s="249"/>
      <c r="CF20" s="249"/>
      <c r="CG20" s="249"/>
      <c r="CH20" s="249"/>
      <c r="CI20" s="249"/>
      <c r="CJ20" s="249"/>
    </row>
    <row r="21">
      <c r="A21" s="80" t="s">
        <v>1758</v>
      </c>
      <c r="B21" s="106" t="s">
        <v>1759</v>
      </c>
      <c r="C21" s="61" t="b">
        <f t="shared" ref="C21:C67" si="6">and(D21,H21)</f>
        <v>0</v>
      </c>
      <c r="D21" s="61" t="b">
        <f t="shared" ref="D21:D67" si="7">SUM(E21:G21)&gt;=2</f>
        <v>0</v>
      </c>
      <c r="E21" s="80">
        <v>0.0</v>
      </c>
      <c r="F21" s="80">
        <v>0.0</v>
      </c>
      <c r="G21" s="80">
        <v>0.0</v>
      </c>
      <c r="H21" s="61" t="b">
        <f t="shared" ref="H21:H67" si="8">SUM(I21:K21)&gt;=2</f>
        <v>0</v>
      </c>
      <c r="I21" s="80">
        <v>0.0</v>
      </c>
      <c r="J21" s="80">
        <v>0.0</v>
      </c>
      <c r="K21" s="80">
        <v>0.0</v>
      </c>
      <c r="L21" s="80" t="s">
        <v>1760</v>
      </c>
      <c r="M21" s="80" t="s">
        <v>1761</v>
      </c>
      <c r="N21" s="114" t="s">
        <v>1762</v>
      </c>
      <c r="O21" s="80" t="s">
        <v>1763</v>
      </c>
      <c r="P21" s="80">
        <v>2004.0</v>
      </c>
    </row>
    <row r="22">
      <c r="A22" s="80" t="s">
        <v>1764</v>
      </c>
      <c r="B22" s="113" t="s">
        <v>1759</v>
      </c>
      <c r="C22" s="61" t="b">
        <f t="shared" si="6"/>
        <v>0</v>
      </c>
      <c r="D22" s="61" t="b">
        <f t="shared" si="7"/>
        <v>0</v>
      </c>
      <c r="E22" s="80">
        <v>0.0</v>
      </c>
      <c r="F22" s="80">
        <v>0.0</v>
      </c>
      <c r="G22" s="80">
        <v>0.0</v>
      </c>
      <c r="H22" s="61" t="b">
        <f t="shared" si="8"/>
        <v>0</v>
      </c>
      <c r="I22" s="80">
        <v>0.0</v>
      </c>
      <c r="J22" s="80">
        <v>0.0</v>
      </c>
      <c r="K22" s="80">
        <v>1.0</v>
      </c>
      <c r="L22" s="80" t="s">
        <v>1765</v>
      </c>
      <c r="M22" s="80" t="s">
        <v>1766</v>
      </c>
      <c r="N22" s="114" t="s">
        <v>1767</v>
      </c>
      <c r="O22" s="80" t="s">
        <v>1564</v>
      </c>
      <c r="P22" s="80">
        <v>2002.0</v>
      </c>
    </row>
    <row r="23">
      <c r="A23" s="80" t="s">
        <v>1768</v>
      </c>
      <c r="B23" s="113" t="s">
        <v>1769</v>
      </c>
      <c r="C23" s="61" t="b">
        <f t="shared" si="6"/>
        <v>0</v>
      </c>
      <c r="D23" s="61" t="b">
        <f t="shared" si="7"/>
        <v>1</v>
      </c>
      <c r="E23" s="80">
        <v>0.0</v>
      </c>
      <c r="F23" s="80">
        <v>1.0</v>
      </c>
      <c r="G23" s="80">
        <v>1.0</v>
      </c>
      <c r="H23" s="61" t="b">
        <f t="shared" si="8"/>
        <v>0</v>
      </c>
      <c r="I23" s="80">
        <v>0.0</v>
      </c>
      <c r="J23" s="80">
        <v>0.0</v>
      </c>
      <c r="K23" s="80">
        <v>0.0</v>
      </c>
      <c r="L23" s="80" t="s">
        <v>1770</v>
      </c>
      <c r="M23" s="80" t="s">
        <v>1771</v>
      </c>
      <c r="N23" s="114" t="s">
        <v>1772</v>
      </c>
      <c r="O23" s="80" t="s">
        <v>1773</v>
      </c>
      <c r="P23" s="80">
        <v>2003.0</v>
      </c>
    </row>
    <row r="24">
      <c r="A24" s="80" t="s">
        <v>1774</v>
      </c>
      <c r="B24" s="113" t="s">
        <v>1775</v>
      </c>
      <c r="C24" s="61" t="b">
        <f t="shared" si="6"/>
        <v>0</v>
      </c>
      <c r="D24" s="61" t="b">
        <f t="shared" si="7"/>
        <v>0</v>
      </c>
      <c r="E24" s="80">
        <v>0.0</v>
      </c>
      <c r="F24" s="80">
        <v>0.0</v>
      </c>
      <c r="G24" s="80">
        <v>0.0</v>
      </c>
      <c r="H24" s="61" t="b">
        <f t="shared" si="8"/>
        <v>0</v>
      </c>
      <c r="I24" s="80">
        <v>0.0</v>
      </c>
      <c r="J24" s="80">
        <v>0.0</v>
      </c>
      <c r="K24" s="80">
        <v>1.0</v>
      </c>
      <c r="L24" s="80" t="s">
        <v>1776</v>
      </c>
      <c r="M24" s="80" t="s">
        <v>1777</v>
      </c>
      <c r="N24" s="114" t="s">
        <v>1778</v>
      </c>
      <c r="O24" s="80" t="s">
        <v>1580</v>
      </c>
      <c r="P24" s="80">
        <v>2010.0</v>
      </c>
    </row>
    <row r="25">
      <c r="A25" s="80" t="s">
        <v>1779</v>
      </c>
      <c r="B25" s="113" t="s">
        <v>1780</v>
      </c>
      <c r="C25" s="61" t="b">
        <f t="shared" si="6"/>
        <v>0</v>
      </c>
      <c r="D25" s="61" t="b">
        <f t="shared" si="7"/>
        <v>0</v>
      </c>
      <c r="E25" s="80">
        <v>0.0</v>
      </c>
      <c r="F25" s="80">
        <v>0.0</v>
      </c>
      <c r="G25" s="80">
        <v>0.0</v>
      </c>
      <c r="H25" s="61" t="b">
        <f t="shared" si="8"/>
        <v>0</v>
      </c>
      <c r="I25" s="80">
        <v>0.0</v>
      </c>
      <c r="J25" s="80">
        <v>0.0</v>
      </c>
      <c r="K25" s="80">
        <v>0.0</v>
      </c>
      <c r="L25" s="80" t="s">
        <v>1781</v>
      </c>
      <c r="M25" s="80" t="s">
        <v>1782</v>
      </c>
      <c r="N25" s="114" t="s">
        <v>1783</v>
      </c>
      <c r="O25" s="80" t="s">
        <v>1592</v>
      </c>
      <c r="P25" s="80">
        <v>1987.0</v>
      </c>
    </row>
    <row r="26">
      <c r="A26" s="80" t="s">
        <v>1784</v>
      </c>
      <c r="B26" s="113" t="s">
        <v>1785</v>
      </c>
      <c r="C26" s="61" t="b">
        <f t="shared" si="6"/>
        <v>0</v>
      </c>
      <c r="D26" s="61" t="b">
        <f t="shared" si="7"/>
        <v>0</v>
      </c>
      <c r="E26" s="80">
        <v>0.0</v>
      </c>
      <c r="F26" s="80">
        <v>0.0</v>
      </c>
      <c r="G26" s="80">
        <v>0.0</v>
      </c>
      <c r="H26" s="61" t="b">
        <f t="shared" si="8"/>
        <v>0</v>
      </c>
      <c r="I26" s="80">
        <v>0.0</v>
      </c>
      <c r="J26" s="80">
        <v>0.0</v>
      </c>
      <c r="K26" s="80">
        <v>0.0</v>
      </c>
      <c r="L26" s="80" t="s">
        <v>1781</v>
      </c>
      <c r="M26" s="80" t="s">
        <v>1786</v>
      </c>
      <c r="N26" s="114" t="s">
        <v>1787</v>
      </c>
      <c r="O26" s="80" t="s">
        <v>1788</v>
      </c>
      <c r="P26" s="80">
        <v>2006.0</v>
      </c>
    </row>
    <row r="27">
      <c r="A27" s="80" t="s">
        <v>1789</v>
      </c>
      <c r="B27" s="113" t="s">
        <v>1790</v>
      </c>
      <c r="C27" s="61" t="b">
        <f t="shared" si="6"/>
        <v>0</v>
      </c>
      <c r="D27" s="61" t="b">
        <f t="shared" si="7"/>
        <v>1</v>
      </c>
      <c r="E27" s="80">
        <v>0.0</v>
      </c>
      <c r="F27" s="80">
        <v>1.0</v>
      </c>
      <c r="G27" s="80">
        <v>1.0</v>
      </c>
      <c r="H27" s="61" t="b">
        <f t="shared" si="8"/>
        <v>0</v>
      </c>
      <c r="I27" s="80">
        <v>0.0</v>
      </c>
      <c r="J27" s="80">
        <v>0.0</v>
      </c>
      <c r="K27" s="80">
        <v>0.0</v>
      </c>
      <c r="L27" s="80" t="s">
        <v>1791</v>
      </c>
      <c r="M27" s="80" t="s">
        <v>1792</v>
      </c>
      <c r="N27" s="80" t="s">
        <v>1793</v>
      </c>
      <c r="O27" s="80" t="s">
        <v>1794</v>
      </c>
      <c r="P27" s="80">
        <v>2006.0</v>
      </c>
    </row>
    <row r="28">
      <c r="A28" s="80" t="s">
        <v>1795</v>
      </c>
      <c r="B28" s="113" t="s">
        <v>1796</v>
      </c>
      <c r="C28" s="61" t="b">
        <f t="shared" si="6"/>
        <v>0</v>
      </c>
      <c r="D28" s="61" t="b">
        <f t="shared" si="7"/>
        <v>1</v>
      </c>
      <c r="E28" s="80">
        <v>1.0</v>
      </c>
      <c r="F28" s="80">
        <v>1.0</v>
      </c>
      <c r="G28" s="80">
        <v>1.0</v>
      </c>
      <c r="H28" s="61" t="b">
        <f t="shared" si="8"/>
        <v>0</v>
      </c>
      <c r="I28" s="80">
        <v>0.0</v>
      </c>
      <c r="J28" s="80">
        <v>1.0</v>
      </c>
      <c r="K28" s="80">
        <v>0.0</v>
      </c>
      <c r="M28" s="80" t="s">
        <v>1797</v>
      </c>
      <c r="N28" s="114" t="s">
        <v>1798</v>
      </c>
      <c r="O28" s="80" t="s">
        <v>1572</v>
      </c>
      <c r="P28" s="80">
        <v>1998.0</v>
      </c>
    </row>
    <row r="29">
      <c r="A29" s="80" t="s">
        <v>1799</v>
      </c>
      <c r="B29" s="113" t="s">
        <v>1800</v>
      </c>
      <c r="C29" s="61" t="b">
        <f t="shared" si="6"/>
        <v>0</v>
      </c>
      <c r="D29" s="61" t="b">
        <f t="shared" si="7"/>
        <v>1</v>
      </c>
      <c r="E29" s="80">
        <v>0.0</v>
      </c>
      <c r="F29" s="80">
        <v>1.0</v>
      </c>
      <c r="G29" s="80">
        <v>1.0</v>
      </c>
      <c r="H29" s="61" t="b">
        <f t="shared" si="8"/>
        <v>0</v>
      </c>
      <c r="I29" s="80">
        <v>0.0</v>
      </c>
      <c r="J29" s="80">
        <v>0.0</v>
      </c>
      <c r="K29" s="80">
        <v>0.0</v>
      </c>
      <c r="L29" s="80" t="s">
        <v>1801</v>
      </c>
      <c r="M29" s="80" t="s">
        <v>1802</v>
      </c>
      <c r="N29" s="114" t="s">
        <v>1803</v>
      </c>
      <c r="O29" s="80" t="s">
        <v>1804</v>
      </c>
      <c r="P29" s="80">
        <v>2008.0</v>
      </c>
    </row>
    <row r="30">
      <c r="A30" s="80" t="s">
        <v>1805</v>
      </c>
      <c r="B30" s="113" t="s">
        <v>1806</v>
      </c>
      <c r="C30" s="61" t="b">
        <f t="shared" si="6"/>
        <v>0</v>
      </c>
      <c r="D30" s="61" t="b">
        <f t="shared" si="7"/>
        <v>1</v>
      </c>
      <c r="E30" s="80">
        <v>0.0</v>
      </c>
      <c r="F30" s="80">
        <v>1.0</v>
      </c>
      <c r="G30" s="80">
        <v>1.0</v>
      </c>
      <c r="H30" s="61" t="b">
        <f t="shared" si="8"/>
        <v>0</v>
      </c>
      <c r="I30" s="80">
        <v>0.0</v>
      </c>
      <c r="J30" s="80">
        <v>1.0</v>
      </c>
      <c r="K30" s="80">
        <v>0.0</v>
      </c>
      <c r="L30" s="80" t="s">
        <v>1807</v>
      </c>
      <c r="M30" s="80" t="s">
        <v>1808</v>
      </c>
      <c r="N30" s="114" t="s">
        <v>1809</v>
      </c>
      <c r="O30" s="80" t="s">
        <v>1208</v>
      </c>
      <c r="P30" s="80">
        <v>2009.0</v>
      </c>
      <c r="Q30" s="80" t="s">
        <v>231</v>
      </c>
    </row>
    <row r="31">
      <c r="A31" s="80" t="s">
        <v>1810</v>
      </c>
      <c r="B31" s="113" t="s">
        <v>1811</v>
      </c>
      <c r="C31" s="61" t="b">
        <f t="shared" si="6"/>
        <v>0</v>
      </c>
      <c r="D31" s="61" t="b">
        <f t="shared" si="7"/>
        <v>0</v>
      </c>
      <c r="E31" s="80">
        <v>0.0</v>
      </c>
      <c r="F31" s="80">
        <v>0.0</v>
      </c>
      <c r="G31" s="80">
        <v>0.0</v>
      </c>
      <c r="H31" s="61" t="b">
        <f t="shared" si="8"/>
        <v>1</v>
      </c>
      <c r="I31" s="80">
        <v>1.0</v>
      </c>
      <c r="J31" s="80">
        <v>1.0</v>
      </c>
      <c r="K31" s="80">
        <v>1.0</v>
      </c>
      <c r="L31" s="80" t="s">
        <v>1812</v>
      </c>
      <c r="M31" s="80" t="s">
        <v>1813</v>
      </c>
      <c r="N31" s="114" t="s">
        <v>1814</v>
      </c>
      <c r="O31" s="80" t="s">
        <v>1586</v>
      </c>
      <c r="P31" s="80">
        <v>2010.0</v>
      </c>
    </row>
    <row r="32">
      <c r="A32" s="80" t="s">
        <v>1815</v>
      </c>
      <c r="B32" s="113" t="s">
        <v>1816</v>
      </c>
      <c r="C32" s="61" t="b">
        <f t="shared" si="6"/>
        <v>0</v>
      </c>
      <c r="D32" s="61" t="b">
        <f t="shared" si="7"/>
        <v>0</v>
      </c>
      <c r="E32" s="80">
        <v>0.0</v>
      </c>
      <c r="F32" s="80">
        <v>0.0</v>
      </c>
      <c r="G32" s="80">
        <v>0.0</v>
      </c>
      <c r="H32" s="61" t="b">
        <f t="shared" si="8"/>
        <v>1</v>
      </c>
      <c r="I32" s="80">
        <v>1.0</v>
      </c>
      <c r="J32" s="80">
        <v>1.0</v>
      </c>
      <c r="K32" s="80">
        <v>1.0</v>
      </c>
      <c r="M32" s="80" t="s">
        <v>1817</v>
      </c>
      <c r="N32" s="114" t="s">
        <v>1818</v>
      </c>
      <c r="O32" s="80" t="s">
        <v>1602</v>
      </c>
      <c r="P32" s="80">
        <v>2001.0</v>
      </c>
    </row>
    <row r="33">
      <c r="A33" s="80" t="s">
        <v>1819</v>
      </c>
      <c r="B33" s="113" t="s">
        <v>1820</v>
      </c>
      <c r="C33" s="61" t="b">
        <f t="shared" si="6"/>
        <v>0</v>
      </c>
      <c r="D33" s="61" t="b">
        <f t="shared" si="7"/>
        <v>1</v>
      </c>
      <c r="E33" s="80">
        <v>0.0</v>
      </c>
      <c r="F33" s="80">
        <v>1.0</v>
      </c>
      <c r="G33" s="80">
        <v>1.0</v>
      </c>
      <c r="H33" s="61" t="b">
        <f t="shared" si="8"/>
        <v>0</v>
      </c>
      <c r="I33" s="80">
        <v>0.0</v>
      </c>
      <c r="J33" s="80">
        <v>0.0</v>
      </c>
      <c r="K33" s="80">
        <v>1.0</v>
      </c>
      <c r="L33" s="115" t="s">
        <v>1821</v>
      </c>
      <c r="M33" s="80" t="s">
        <v>1822</v>
      </c>
      <c r="N33" s="114" t="s">
        <v>1823</v>
      </c>
      <c r="O33" s="80" t="s">
        <v>1824</v>
      </c>
      <c r="P33" s="80">
        <v>2007.0</v>
      </c>
    </row>
    <row r="34">
      <c r="A34" s="114" t="s">
        <v>1825</v>
      </c>
      <c r="B34" s="113" t="s">
        <v>1826</v>
      </c>
      <c r="C34" s="61" t="b">
        <f t="shared" si="6"/>
        <v>0</v>
      </c>
      <c r="D34" s="61" t="b">
        <f t="shared" si="7"/>
        <v>0</v>
      </c>
      <c r="E34" s="80">
        <v>0.0</v>
      </c>
      <c r="F34" s="80">
        <v>0.0</v>
      </c>
      <c r="G34" s="80">
        <v>1.0</v>
      </c>
      <c r="H34" s="61" t="b">
        <f t="shared" si="8"/>
        <v>0</v>
      </c>
      <c r="I34" s="80">
        <v>0.0</v>
      </c>
      <c r="J34" s="80">
        <v>0.0</v>
      </c>
      <c r="K34" s="80">
        <v>0.0</v>
      </c>
      <c r="L34" s="80" t="s">
        <v>1827</v>
      </c>
      <c r="M34" s="80" t="s">
        <v>1802</v>
      </c>
      <c r="N34" s="114" t="s">
        <v>1828</v>
      </c>
      <c r="O34" s="80" t="s">
        <v>1829</v>
      </c>
      <c r="P34" s="80">
        <v>2008.0</v>
      </c>
    </row>
    <row r="35">
      <c r="A35" s="80" t="s">
        <v>1830</v>
      </c>
      <c r="B35" s="113" t="s">
        <v>1831</v>
      </c>
      <c r="C35" s="61" t="b">
        <f t="shared" si="6"/>
        <v>0</v>
      </c>
      <c r="D35" s="61" t="b">
        <f t="shared" si="7"/>
        <v>1</v>
      </c>
      <c r="E35" s="80">
        <v>1.0</v>
      </c>
      <c r="F35" s="80">
        <v>1.0</v>
      </c>
      <c r="G35" s="80">
        <v>1.0</v>
      </c>
      <c r="H35" s="61" t="b">
        <f t="shared" si="8"/>
        <v>0</v>
      </c>
      <c r="I35" s="80">
        <v>0.0</v>
      </c>
      <c r="J35" s="80">
        <v>0.0</v>
      </c>
      <c r="K35" s="80">
        <v>0.0</v>
      </c>
      <c r="L35" s="115" t="s">
        <v>1821</v>
      </c>
      <c r="M35" s="80" t="s">
        <v>1832</v>
      </c>
      <c r="N35" s="114" t="s">
        <v>1833</v>
      </c>
      <c r="O35" s="80" t="s">
        <v>1834</v>
      </c>
      <c r="P35" s="80">
        <v>2009.0</v>
      </c>
    </row>
    <row r="36">
      <c r="A36" s="80" t="s">
        <v>1835</v>
      </c>
      <c r="B36" s="113" t="s">
        <v>1836</v>
      </c>
      <c r="C36" s="61" t="b">
        <f t="shared" si="6"/>
        <v>0</v>
      </c>
      <c r="D36" s="61" t="b">
        <f t="shared" si="7"/>
        <v>0</v>
      </c>
      <c r="E36" s="80">
        <v>0.0</v>
      </c>
      <c r="F36" s="80">
        <v>0.0</v>
      </c>
      <c r="G36" s="80">
        <v>0.0</v>
      </c>
      <c r="H36" s="61" t="b">
        <f t="shared" si="8"/>
        <v>1</v>
      </c>
      <c r="I36" s="80">
        <v>0.0</v>
      </c>
      <c r="J36" s="80">
        <v>1.0</v>
      </c>
      <c r="K36" s="80">
        <v>1.0</v>
      </c>
      <c r="M36" s="80" t="s">
        <v>1837</v>
      </c>
      <c r="N36" s="114" t="s">
        <v>1838</v>
      </c>
      <c r="O36" s="80" t="s">
        <v>1839</v>
      </c>
      <c r="P36" s="80">
        <v>2004.0</v>
      </c>
      <c r="AA36" s="80">
        <v>1.0</v>
      </c>
    </row>
    <row r="37">
      <c r="A37" s="80" t="s">
        <v>1840</v>
      </c>
      <c r="B37" s="113" t="s">
        <v>1841</v>
      </c>
      <c r="C37" s="61" t="b">
        <f t="shared" si="6"/>
        <v>0</v>
      </c>
      <c r="D37" s="61" t="b">
        <f t="shared" si="7"/>
        <v>1</v>
      </c>
      <c r="E37" s="80">
        <v>1.0</v>
      </c>
      <c r="F37" s="80">
        <v>1.0</v>
      </c>
      <c r="G37" s="80">
        <v>1.0</v>
      </c>
      <c r="H37" s="61" t="b">
        <f t="shared" si="8"/>
        <v>0</v>
      </c>
      <c r="I37" s="80">
        <v>0.0</v>
      </c>
      <c r="J37" s="80">
        <v>0.0</v>
      </c>
      <c r="K37" s="80">
        <v>0.0</v>
      </c>
      <c r="M37" s="80" t="s">
        <v>1842</v>
      </c>
      <c r="N37" s="114" t="s">
        <v>1843</v>
      </c>
      <c r="O37" s="80" t="s">
        <v>1773</v>
      </c>
      <c r="P37" s="80">
        <v>1999.0</v>
      </c>
      <c r="Z37" s="80" t="s">
        <v>1844</v>
      </c>
    </row>
    <row r="38">
      <c r="A38" s="80" t="s">
        <v>1845</v>
      </c>
      <c r="B38" s="113" t="s">
        <v>1846</v>
      </c>
      <c r="C38" s="61" t="b">
        <f t="shared" si="6"/>
        <v>0</v>
      </c>
      <c r="D38" s="61" t="b">
        <f t="shared" si="7"/>
        <v>1</v>
      </c>
      <c r="E38" s="80">
        <v>1.0</v>
      </c>
      <c r="F38" s="80">
        <v>1.0</v>
      </c>
      <c r="G38" s="80">
        <v>1.0</v>
      </c>
      <c r="H38" s="61" t="b">
        <f t="shared" si="8"/>
        <v>0</v>
      </c>
      <c r="I38" s="80">
        <v>0.0</v>
      </c>
      <c r="J38" s="80">
        <v>0.0</v>
      </c>
      <c r="K38" s="80">
        <v>1.0</v>
      </c>
      <c r="L38" s="115" t="s">
        <v>1847</v>
      </c>
      <c r="M38" s="80" t="s">
        <v>1848</v>
      </c>
      <c r="N38" s="114" t="s">
        <v>1849</v>
      </c>
      <c r="O38" s="80" t="s">
        <v>1773</v>
      </c>
      <c r="P38" s="80">
        <v>2000.0</v>
      </c>
      <c r="Z38" s="80" t="s">
        <v>1850</v>
      </c>
    </row>
    <row r="39">
      <c r="A39" s="80" t="s">
        <v>1851</v>
      </c>
      <c r="B39" s="113" t="s">
        <v>1852</v>
      </c>
      <c r="C39" s="61" t="b">
        <f t="shared" si="6"/>
        <v>0</v>
      </c>
      <c r="D39" s="61" t="b">
        <f t="shared" si="7"/>
        <v>1</v>
      </c>
      <c r="E39" s="80">
        <v>1.0</v>
      </c>
      <c r="F39" s="80">
        <v>1.0</v>
      </c>
      <c r="G39" s="80">
        <v>1.0</v>
      </c>
      <c r="H39" s="61" t="b">
        <f t="shared" si="8"/>
        <v>0</v>
      </c>
      <c r="I39" s="80">
        <v>0.0</v>
      </c>
      <c r="J39" s="80">
        <v>0.0</v>
      </c>
      <c r="K39" s="80">
        <v>0.0</v>
      </c>
      <c r="L39" s="80" t="s">
        <v>1853</v>
      </c>
      <c r="M39" s="80" t="s">
        <v>1854</v>
      </c>
      <c r="N39" s="114" t="s">
        <v>1855</v>
      </c>
      <c r="O39" s="80" t="s">
        <v>1856</v>
      </c>
      <c r="P39" s="80">
        <v>2004.0</v>
      </c>
      <c r="Z39" s="80" t="s">
        <v>1857</v>
      </c>
    </row>
    <row r="40">
      <c r="A40" s="80" t="s">
        <v>1858</v>
      </c>
      <c r="B40" s="113" t="s">
        <v>1859</v>
      </c>
      <c r="C40" s="61" t="b">
        <f t="shared" si="6"/>
        <v>0</v>
      </c>
      <c r="D40" s="61" t="b">
        <f t="shared" si="7"/>
        <v>0</v>
      </c>
      <c r="E40" s="80">
        <v>0.0</v>
      </c>
      <c r="F40" s="80">
        <v>0.0</v>
      </c>
      <c r="G40" s="80">
        <v>1.0</v>
      </c>
      <c r="H40" s="61" t="b">
        <f t="shared" si="8"/>
        <v>1</v>
      </c>
      <c r="I40" s="80">
        <v>1.0</v>
      </c>
      <c r="J40" s="80">
        <v>1.0</v>
      </c>
      <c r="K40" s="80">
        <v>1.0</v>
      </c>
      <c r="M40" s="80" t="s">
        <v>1860</v>
      </c>
      <c r="N40" s="114" t="s">
        <v>1861</v>
      </c>
      <c r="O40" s="80" t="s">
        <v>312</v>
      </c>
      <c r="P40" s="80">
        <v>2008.0</v>
      </c>
      <c r="Q40" s="80" t="s">
        <v>231</v>
      </c>
    </row>
    <row r="41">
      <c r="A41" s="80" t="s">
        <v>1862</v>
      </c>
      <c r="B41" s="113" t="s">
        <v>1863</v>
      </c>
      <c r="C41" s="61" t="b">
        <f t="shared" si="6"/>
        <v>0</v>
      </c>
      <c r="D41" s="61" t="b">
        <f t="shared" si="7"/>
        <v>1</v>
      </c>
      <c r="E41" s="80">
        <v>0.0</v>
      </c>
      <c r="F41" s="80">
        <v>1.0</v>
      </c>
      <c r="G41" s="80">
        <v>1.0</v>
      </c>
      <c r="H41" s="61" t="b">
        <f t="shared" si="8"/>
        <v>0</v>
      </c>
      <c r="I41" s="80">
        <v>0.0</v>
      </c>
      <c r="J41" s="80">
        <v>0.0</v>
      </c>
      <c r="K41" s="80">
        <v>1.0</v>
      </c>
      <c r="L41" s="115" t="s">
        <v>1847</v>
      </c>
      <c r="M41" s="80" t="s">
        <v>1864</v>
      </c>
      <c r="N41" s="80" t="s">
        <v>1865</v>
      </c>
      <c r="O41" s="80" t="s">
        <v>1570</v>
      </c>
      <c r="P41" s="80">
        <v>2009.0</v>
      </c>
    </row>
    <row r="42">
      <c r="A42" s="80" t="s">
        <v>1866</v>
      </c>
      <c r="B42" s="113" t="s">
        <v>1867</v>
      </c>
      <c r="C42" s="61" t="b">
        <f t="shared" si="6"/>
        <v>0</v>
      </c>
      <c r="D42" s="61" t="b">
        <f t="shared" si="7"/>
        <v>0</v>
      </c>
      <c r="E42" s="80">
        <v>0.0</v>
      </c>
      <c r="F42" s="80">
        <v>0.0</v>
      </c>
      <c r="G42" s="80">
        <v>0.0</v>
      </c>
      <c r="H42" s="61" t="b">
        <f t="shared" si="8"/>
        <v>1</v>
      </c>
      <c r="I42" s="80">
        <v>1.0</v>
      </c>
      <c r="J42" s="80">
        <v>1.0</v>
      </c>
      <c r="K42" s="80">
        <v>1.0</v>
      </c>
      <c r="L42" s="80" t="s">
        <v>1868</v>
      </c>
      <c r="M42" s="80" t="s">
        <v>1869</v>
      </c>
      <c r="N42" s="80" t="s">
        <v>1870</v>
      </c>
      <c r="O42" s="80" t="s">
        <v>1590</v>
      </c>
      <c r="P42" s="80">
        <v>2005.0</v>
      </c>
    </row>
    <row r="43">
      <c r="A43" s="80" t="s">
        <v>1871</v>
      </c>
      <c r="B43" s="113" t="s">
        <v>1872</v>
      </c>
      <c r="C43" s="61" t="b">
        <f t="shared" si="6"/>
        <v>0</v>
      </c>
      <c r="D43" s="61" t="b">
        <f t="shared" si="7"/>
        <v>0</v>
      </c>
      <c r="E43" s="80">
        <v>0.0</v>
      </c>
      <c r="F43" s="80">
        <v>1.0</v>
      </c>
      <c r="G43" s="80">
        <v>0.0</v>
      </c>
      <c r="H43" s="61" t="b">
        <f t="shared" si="8"/>
        <v>0</v>
      </c>
      <c r="I43" s="80">
        <v>0.0</v>
      </c>
      <c r="J43" s="80">
        <v>1.0</v>
      </c>
      <c r="K43" s="80">
        <v>0.0</v>
      </c>
      <c r="L43" s="80" t="s">
        <v>1873</v>
      </c>
      <c r="M43" s="80" t="s">
        <v>1874</v>
      </c>
      <c r="N43" s="114" t="s">
        <v>1875</v>
      </c>
      <c r="O43" s="80" t="s">
        <v>1876</v>
      </c>
      <c r="P43" s="80">
        <v>2006.0</v>
      </c>
      <c r="W43" s="80">
        <v>1.0</v>
      </c>
    </row>
    <row r="44">
      <c r="A44" s="80" t="s">
        <v>1877</v>
      </c>
      <c r="B44" s="113" t="s">
        <v>1878</v>
      </c>
      <c r="C44" s="61" t="b">
        <f t="shared" si="6"/>
        <v>0</v>
      </c>
      <c r="D44" s="61" t="b">
        <f t="shared" si="7"/>
        <v>0</v>
      </c>
      <c r="E44" s="80">
        <v>0.0</v>
      </c>
      <c r="F44" s="80">
        <v>0.0</v>
      </c>
      <c r="G44" s="80">
        <v>0.0</v>
      </c>
      <c r="H44" s="61" t="b">
        <f t="shared" si="8"/>
        <v>1</v>
      </c>
      <c r="I44" s="80">
        <v>1.0</v>
      </c>
      <c r="J44" s="80">
        <v>1.0</v>
      </c>
      <c r="K44" s="80">
        <v>1.0</v>
      </c>
      <c r="L44" s="80" t="s">
        <v>1879</v>
      </c>
      <c r="M44" s="80" t="s">
        <v>1880</v>
      </c>
      <c r="N44" s="114" t="s">
        <v>1881</v>
      </c>
      <c r="O44" s="80" t="s">
        <v>720</v>
      </c>
      <c r="P44" s="80">
        <v>2010.0</v>
      </c>
    </row>
    <row r="45">
      <c r="A45" s="80" t="s">
        <v>1882</v>
      </c>
      <c r="B45" s="113" t="s">
        <v>1883</v>
      </c>
      <c r="C45" s="61" t="b">
        <f t="shared" si="6"/>
        <v>0</v>
      </c>
      <c r="D45" s="61" t="b">
        <f t="shared" si="7"/>
        <v>0</v>
      </c>
      <c r="E45" s="80">
        <v>0.0</v>
      </c>
      <c r="F45" s="80">
        <v>0.0</v>
      </c>
      <c r="G45" s="80">
        <v>1.0</v>
      </c>
      <c r="H45" s="61" t="b">
        <f t="shared" si="8"/>
        <v>0</v>
      </c>
      <c r="I45" s="80">
        <v>0.0</v>
      </c>
      <c r="J45" s="80">
        <v>0.0</v>
      </c>
      <c r="K45" s="80">
        <v>0.0</v>
      </c>
      <c r="L45" s="80" t="s">
        <v>1884</v>
      </c>
      <c r="M45" s="80" t="s">
        <v>1885</v>
      </c>
      <c r="N45" s="114" t="s">
        <v>348</v>
      </c>
      <c r="O45" s="80" t="s">
        <v>1600</v>
      </c>
      <c r="P45" s="80">
        <v>2001.0</v>
      </c>
    </row>
    <row r="46">
      <c r="A46" s="80" t="s">
        <v>1886</v>
      </c>
      <c r="B46" s="113" t="s">
        <v>1887</v>
      </c>
      <c r="C46" s="61" t="b">
        <f t="shared" si="6"/>
        <v>0</v>
      </c>
      <c r="D46" s="61" t="b">
        <f t="shared" si="7"/>
        <v>1</v>
      </c>
      <c r="E46" s="80">
        <v>1.0</v>
      </c>
      <c r="F46" s="80">
        <v>1.0</v>
      </c>
      <c r="G46" s="80">
        <v>1.0</v>
      </c>
      <c r="H46" s="61" t="b">
        <f t="shared" si="8"/>
        <v>0</v>
      </c>
      <c r="I46" s="80">
        <v>0.0</v>
      </c>
      <c r="J46" s="80">
        <v>0.0</v>
      </c>
      <c r="K46" s="80">
        <v>0.0</v>
      </c>
      <c r="L46" s="80" t="s">
        <v>1888</v>
      </c>
      <c r="M46" s="80" t="s">
        <v>1889</v>
      </c>
      <c r="N46" s="114" t="s">
        <v>1890</v>
      </c>
      <c r="O46" s="80" t="s">
        <v>1582</v>
      </c>
      <c r="P46" s="80">
        <v>2011.0</v>
      </c>
    </row>
    <row r="47">
      <c r="A47" s="80" t="s">
        <v>1891</v>
      </c>
      <c r="B47" s="113" t="s">
        <v>1892</v>
      </c>
      <c r="C47" s="61" t="b">
        <f t="shared" si="6"/>
        <v>0</v>
      </c>
      <c r="D47" s="61" t="b">
        <f t="shared" si="7"/>
        <v>1</v>
      </c>
      <c r="E47" s="80">
        <v>1.0</v>
      </c>
      <c r="F47" s="80">
        <v>1.0</v>
      </c>
      <c r="G47" s="80">
        <v>1.0</v>
      </c>
      <c r="H47" s="61" t="b">
        <f t="shared" si="8"/>
        <v>0</v>
      </c>
      <c r="I47" s="80">
        <v>0.0</v>
      </c>
      <c r="J47" s="80">
        <v>0.0</v>
      </c>
      <c r="K47" s="80">
        <v>1.0</v>
      </c>
      <c r="L47" s="115" t="s">
        <v>1847</v>
      </c>
      <c r="M47" s="80" t="s">
        <v>1893</v>
      </c>
      <c r="N47" s="114" t="s">
        <v>1894</v>
      </c>
      <c r="O47" s="80" t="s">
        <v>215</v>
      </c>
      <c r="P47" s="80">
        <v>2003.0</v>
      </c>
    </row>
    <row r="48">
      <c r="A48" s="80" t="s">
        <v>1895</v>
      </c>
      <c r="B48" s="113" t="s">
        <v>1896</v>
      </c>
      <c r="C48" s="61" t="b">
        <f t="shared" si="6"/>
        <v>0</v>
      </c>
      <c r="D48" s="61" t="b">
        <f t="shared" si="7"/>
        <v>0</v>
      </c>
      <c r="E48" s="80">
        <v>0.0</v>
      </c>
      <c r="F48" s="80">
        <v>0.0</v>
      </c>
      <c r="G48" s="80">
        <v>0.0</v>
      </c>
      <c r="H48" s="61" t="b">
        <f t="shared" si="8"/>
        <v>0</v>
      </c>
      <c r="I48" s="80">
        <v>0.0</v>
      </c>
      <c r="J48" s="80">
        <v>1.0</v>
      </c>
      <c r="M48" s="80" t="s">
        <v>1897</v>
      </c>
      <c r="N48" s="80" t="s">
        <v>1898</v>
      </c>
      <c r="O48" s="80" t="s">
        <v>1584</v>
      </c>
      <c r="P48" s="80">
        <v>2007.0</v>
      </c>
    </row>
    <row r="49">
      <c r="A49" s="80" t="s">
        <v>1899</v>
      </c>
      <c r="B49" s="113" t="s">
        <v>1900</v>
      </c>
      <c r="C49" s="61" t="b">
        <f t="shared" si="6"/>
        <v>0</v>
      </c>
      <c r="D49" s="61" t="b">
        <f t="shared" si="7"/>
        <v>0</v>
      </c>
      <c r="E49" s="80">
        <v>0.0</v>
      </c>
      <c r="F49" s="216">
        <v>0.0</v>
      </c>
      <c r="G49" s="216">
        <v>1.0</v>
      </c>
      <c r="H49" s="61" t="b">
        <f t="shared" si="8"/>
        <v>1</v>
      </c>
      <c r="I49" s="80">
        <v>1.0</v>
      </c>
      <c r="J49" s="80">
        <v>1.0</v>
      </c>
      <c r="K49" s="80">
        <v>1.0</v>
      </c>
      <c r="M49" s="80" t="s">
        <v>1901</v>
      </c>
      <c r="N49" s="114" t="s">
        <v>1902</v>
      </c>
      <c r="O49" s="80" t="s">
        <v>1604</v>
      </c>
      <c r="P49" s="80">
        <v>2010.0</v>
      </c>
    </row>
    <row r="50">
      <c r="A50" s="80" t="s">
        <v>1903</v>
      </c>
      <c r="B50" s="113" t="s">
        <v>1904</v>
      </c>
      <c r="C50" s="61" t="b">
        <f t="shared" si="6"/>
        <v>0</v>
      </c>
      <c r="D50" s="61" t="b">
        <f t="shared" si="7"/>
        <v>0</v>
      </c>
      <c r="E50" s="80">
        <v>0.0</v>
      </c>
      <c r="F50" s="124">
        <v>0.0</v>
      </c>
      <c r="G50" s="80">
        <v>1.0</v>
      </c>
      <c r="H50" s="61" t="b">
        <f t="shared" si="8"/>
        <v>1</v>
      </c>
      <c r="I50" s="80">
        <v>1.0</v>
      </c>
      <c r="J50" s="80">
        <v>1.0</v>
      </c>
      <c r="K50" s="80">
        <v>1.0</v>
      </c>
      <c r="M50" s="80" t="s">
        <v>1905</v>
      </c>
      <c r="N50" s="114" t="s">
        <v>1906</v>
      </c>
      <c r="O50" s="80" t="s">
        <v>413</v>
      </c>
      <c r="P50" s="80">
        <v>2009.0</v>
      </c>
    </row>
    <row r="51">
      <c r="A51" s="80" t="s">
        <v>1907</v>
      </c>
      <c r="B51" s="113" t="s">
        <v>1908</v>
      </c>
      <c r="C51" s="61" t="b">
        <f t="shared" si="6"/>
        <v>0</v>
      </c>
      <c r="D51" s="61" t="b">
        <f t="shared" si="7"/>
        <v>0</v>
      </c>
      <c r="E51" s="80">
        <v>0.0</v>
      </c>
      <c r="F51" s="80">
        <v>0.0</v>
      </c>
      <c r="G51" s="80">
        <v>0.0</v>
      </c>
      <c r="H51" s="61" t="b">
        <f t="shared" si="8"/>
        <v>1</v>
      </c>
      <c r="I51" s="80">
        <v>0.0</v>
      </c>
      <c r="J51" s="80">
        <v>1.0</v>
      </c>
      <c r="K51" s="80">
        <v>1.0</v>
      </c>
      <c r="L51" s="80" t="s">
        <v>1909</v>
      </c>
      <c r="M51" s="80" t="s">
        <v>1910</v>
      </c>
      <c r="N51" s="114" t="s">
        <v>1911</v>
      </c>
      <c r="O51" s="80" t="s">
        <v>1596</v>
      </c>
      <c r="P51" s="80">
        <v>2004.0</v>
      </c>
    </row>
    <row r="52">
      <c r="A52" s="80" t="s">
        <v>1912</v>
      </c>
      <c r="B52" s="113" t="s">
        <v>1913</v>
      </c>
      <c r="C52" s="61" t="b">
        <f t="shared" si="6"/>
        <v>0</v>
      </c>
      <c r="D52" s="61" t="b">
        <f t="shared" si="7"/>
        <v>1</v>
      </c>
      <c r="E52" s="80">
        <v>1.0</v>
      </c>
      <c r="F52" s="80">
        <v>1.0</v>
      </c>
      <c r="G52" s="80">
        <v>1.0</v>
      </c>
      <c r="H52" s="61" t="b">
        <f t="shared" si="8"/>
        <v>0</v>
      </c>
      <c r="I52" s="80">
        <v>0.0</v>
      </c>
      <c r="J52" s="241">
        <v>0.0</v>
      </c>
      <c r="K52" s="241">
        <v>1.0</v>
      </c>
      <c r="M52" s="80" t="s">
        <v>1914</v>
      </c>
      <c r="N52" s="114" t="s">
        <v>1915</v>
      </c>
      <c r="O52" s="80" t="s">
        <v>1608</v>
      </c>
      <c r="P52" s="80">
        <v>2007.0</v>
      </c>
    </row>
    <row r="53">
      <c r="A53" s="80" t="s">
        <v>1916</v>
      </c>
      <c r="B53" s="113" t="s">
        <v>1917</v>
      </c>
      <c r="C53" s="61" t="b">
        <f t="shared" si="6"/>
        <v>0</v>
      </c>
      <c r="D53" s="61" t="b">
        <f t="shared" si="7"/>
        <v>0</v>
      </c>
      <c r="E53" s="80">
        <v>0.0</v>
      </c>
      <c r="F53" s="80">
        <v>0.0</v>
      </c>
      <c r="G53" s="80">
        <v>0.0</v>
      </c>
      <c r="H53" s="61" t="b">
        <f t="shared" si="8"/>
        <v>1</v>
      </c>
      <c r="I53" s="80">
        <v>1.0</v>
      </c>
      <c r="J53" s="80">
        <v>1.0</v>
      </c>
      <c r="L53" s="80" t="s">
        <v>1918</v>
      </c>
      <c r="M53" s="80" t="s">
        <v>1919</v>
      </c>
      <c r="N53" s="114" t="s">
        <v>1920</v>
      </c>
      <c r="O53" s="80" t="s">
        <v>903</v>
      </c>
      <c r="P53" s="80">
        <v>2010.0</v>
      </c>
      <c r="Q53" s="80" t="s">
        <v>231</v>
      </c>
    </row>
    <row r="54">
      <c r="A54" s="80" t="s">
        <v>1921</v>
      </c>
      <c r="B54" s="113" t="s">
        <v>1922</v>
      </c>
      <c r="C54" s="61" t="b">
        <f t="shared" si="6"/>
        <v>0</v>
      </c>
      <c r="D54" s="61" t="b">
        <f t="shared" si="7"/>
        <v>0</v>
      </c>
      <c r="E54" s="80">
        <v>0.0</v>
      </c>
      <c r="F54" s="80">
        <v>0.0</v>
      </c>
      <c r="G54" s="80">
        <v>0.0</v>
      </c>
      <c r="H54" s="61" t="b">
        <f t="shared" si="8"/>
        <v>0</v>
      </c>
      <c r="I54" s="80">
        <v>0.0</v>
      </c>
      <c r="J54" s="80">
        <v>0.0</v>
      </c>
      <c r="K54" s="80">
        <v>0.0</v>
      </c>
      <c r="L54" s="80" t="s">
        <v>1923</v>
      </c>
      <c r="M54" s="80" t="s">
        <v>1924</v>
      </c>
      <c r="N54" s="80" t="s">
        <v>1925</v>
      </c>
      <c r="O54" s="80" t="s">
        <v>1926</v>
      </c>
      <c r="P54" s="80">
        <v>2010.0</v>
      </c>
    </row>
    <row r="55">
      <c r="A55" s="80" t="s">
        <v>1927</v>
      </c>
      <c r="B55" s="113" t="s">
        <v>1928</v>
      </c>
      <c r="C55" s="61" t="b">
        <f t="shared" si="6"/>
        <v>0</v>
      </c>
      <c r="D55" s="61" t="b">
        <f t="shared" si="7"/>
        <v>0</v>
      </c>
      <c r="E55" s="80">
        <v>0.0</v>
      </c>
      <c r="F55" s="80">
        <v>0.0</v>
      </c>
      <c r="G55" s="80">
        <v>0.0</v>
      </c>
      <c r="H55" s="61" t="b">
        <f t="shared" si="8"/>
        <v>1</v>
      </c>
      <c r="I55" s="80">
        <v>1.0</v>
      </c>
      <c r="J55" s="80">
        <v>1.0</v>
      </c>
      <c r="K55" s="80">
        <v>1.0</v>
      </c>
      <c r="L55" s="80" t="s">
        <v>1929</v>
      </c>
      <c r="M55" s="80" t="s">
        <v>1930</v>
      </c>
      <c r="N55" s="80" t="s">
        <v>1931</v>
      </c>
      <c r="O55" s="80" t="s">
        <v>1932</v>
      </c>
      <c r="P55" s="80">
        <v>2010.0</v>
      </c>
      <c r="Q55" s="80" t="s">
        <v>231</v>
      </c>
    </row>
    <row r="56">
      <c r="A56" s="80" t="s">
        <v>1933</v>
      </c>
      <c r="B56" s="113" t="s">
        <v>1934</v>
      </c>
      <c r="C56" s="61" t="b">
        <f t="shared" si="6"/>
        <v>0</v>
      </c>
      <c r="D56" s="61" t="b">
        <f t="shared" si="7"/>
        <v>1</v>
      </c>
      <c r="E56" s="80">
        <v>1.0</v>
      </c>
      <c r="F56" s="80">
        <v>1.0</v>
      </c>
      <c r="G56" s="80">
        <v>1.0</v>
      </c>
      <c r="H56" s="61" t="b">
        <f t="shared" si="8"/>
        <v>0</v>
      </c>
      <c r="I56" s="80">
        <v>0.0</v>
      </c>
      <c r="J56" s="80">
        <v>0.0</v>
      </c>
      <c r="K56" s="80">
        <v>1.0</v>
      </c>
      <c r="L56" s="115" t="s">
        <v>1935</v>
      </c>
      <c r="M56" s="80" t="s">
        <v>1936</v>
      </c>
      <c r="N56" s="114" t="s">
        <v>1937</v>
      </c>
      <c r="O56" s="80" t="s">
        <v>1773</v>
      </c>
      <c r="P56" s="80">
        <v>2003.0</v>
      </c>
    </row>
    <row r="57">
      <c r="A57" s="80" t="s">
        <v>1938</v>
      </c>
      <c r="B57" s="113" t="s">
        <v>1939</v>
      </c>
      <c r="C57" s="61" t="b">
        <f t="shared" si="6"/>
        <v>0</v>
      </c>
      <c r="D57" s="61" t="b">
        <f t="shared" si="7"/>
        <v>1</v>
      </c>
      <c r="E57" s="80">
        <v>1.0</v>
      </c>
      <c r="F57" s="80">
        <v>1.0</v>
      </c>
      <c r="H57" s="61" t="b">
        <f t="shared" si="8"/>
        <v>0</v>
      </c>
      <c r="I57" s="80">
        <v>0.0</v>
      </c>
      <c r="J57" s="80">
        <v>1.0</v>
      </c>
      <c r="L57" s="80" t="s">
        <v>1940</v>
      </c>
      <c r="M57" s="80" t="s">
        <v>1941</v>
      </c>
      <c r="N57" s="114" t="s">
        <v>1942</v>
      </c>
      <c r="O57" s="80" t="s">
        <v>1568</v>
      </c>
      <c r="P57" s="80">
        <v>2008.0</v>
      </c>
    </row>
    <row r="58">
      <c r="A58" s="80" t="s">
        <v>1943</v>
      </c>
      <c r="B58" s="113" t="s">
        <v>1944</v>
      </c>
      <c r="C58" s="61" t="b">
        <f t="shared" si="6"/>
        <v>0</v>
      </c>
      <c r="D58" s="61" t="b">
        <f t="shared" si="7"/>
        <v>1</v>
      </c>
      <c r="E58" s="80">
        <v>1.0</v>
      </c>
      <c r="F58" s="80">
        <v>1.0</v>
      </c>
      <c r="G58" s="80">
        <v>1.0</v>
      </c>
      <c r="H58" s="61" t="b">
        <f t="shared" si="8"/>
        <v>0</v>
      </c>
      <c r="I58" s="80">
        <v>0.0</v>
      </c>
      <c r="J58" s="80">
        <v>0.0</v>
      </c>
      <c r="K58" s="80">
        <v>1.0</v>
      </c>
      <c r="M58" s="80" t="s">
        <v>1945</v>
      </c>
      <c r="N58" s="114" t="s">
        <v>1946</v>
      </c>
      <c r="O58" s="80" t="s">
        <v>1947</v>
      </c>
      <c r="P58" s="80">
        <v>2010.0</v>
      </c>
    </row>
    <row r="59">
      <c r="A59" s="80" t="s">
        <v>1948</v>
      </c>
      <c r="B59" s="113" t="s">
        <v>1949</v>
      </c>
      <c r="C59" s="61" t="b">
        <f t="shared" si="6"/>
        <v>0</v>
      </c>
      <c r="D59" s="61" t="b">
        <f t="shared" si="7"/>
        <v>1</v>
      </c>
      <c r="E59" s="80">
        <v>1.0</v>
      </c>
      <c r="F59" s="80">
        <v>1.0</v>
      </c>
      <c r="G59" s="80">
        <v>1.0</v>
      </c>
      <c r="H59" s="61" t="b">
        <f t="shared" si="8"/>
        <v>0</v>
      </c>
      <c r="I59" s="80">
        <v>0.0</v>
      </c>
      <c r="J59" s="80">
        <v>0.0</v>
      </c>
      <c r="K59" s="80">
        <v>0.0</v>
      </c>
      <c r="M59" s="80" t="s">
        <v>1950</v>
      </c>
      <c r="N59" s="114" t="s">
        <v>1951</v>
      </c>
      <c r="O59" s="80" t="s">
        <v>1588</v>
      </c>
      <c r="P59" s="80">
        <v>2002.0</v>
      </c>
      <c r="Q59" s="80" t="s">
        <v>250</v>
      </c>
    </row>
    <row r="60">
      <c r="A60" s="80" t="s">
        <v>1952</v>
      </c>
      <c r="B60" s="113" t="s">
        <v>1953</v>
      </c>
      <c r="C60" s="61" t="b">
        <f t="shared" si="6"/>
        <v>0</v>
      </c>
      <c r="D60" s="61" t="b">
        <f t="shared" si="7"/>
        <v>0</v>
      </c>
      <c r="E60" s="80">
        <v>0.0</v>
      </c>
      <c r="F60" s="80">
        <v>0.0</v>
      </c>
      <c r="G60" s="80">
        <v>0.0</v>
      </c>
      <c r="H60" s="61" t="b">
        <f t="shared" si="8"/>
        <v>1</v>
      </c>
      <c r="I60" s="80">
        <v>0.0</v>
      </c>
      <c r="J60" s="80">
        <v>1.0</v>
      </c>
      <c r="K60" s="80">
        <v>1.0</v>
      </c>
      <c r="L60" s="80" t="s">
        <v>1954</v>
      </c>
      <c r="M60" s="80" t="s">
        <v>1955</v>
      </c>
      <c r="N60" s="114" t="s">
        <v>1956</v>
      </c>
      <c r="O60" s="80" t="s">
        <v>283</v>
      </c>
      <c r="P60" s="80">
        <v>2008.0</v>
      </c>
    </row>
    <row r="61">
      <c r="A61" s="114" t="s">
        <v>1957</v>
      </c>
      <c r="B61" s="106" t="s">
        <v>1958</v>
      </c>
      <c r="C61" s="61" t="b">
        <f t="shared" si="6"/>
        <v>0</v>
      </c>
      <c r="D61" s="61" t="b">
        <f t="shared" si="7"/>
        <v>0</v>
      </c>
      <c r="E61" s="114">
        <v>0.0</v>
      </c>
      <c r="F61" s="114">
        <v>1.0</v>
      </c>
      <c r="G61" s="127"/>
      <c r="H61" s="61" t="b">
        <f t="shared" si="8"/>
        <v>0</v>
      </c>
      <c r="I61" s="80">
        <v>0.0</v>
      </c>
      <c r="J61" s="114">
        <v>0.0</v>
      </c>
      <c r="K61" s="127"/>
      <c r="L61" s="114" t="s">
        <v>1918</v>
      </c>
      <c r="M61" s="114" t="s">
        <v>1959</v>
      </c>
      <c r="N61" s="114" t="s">
        <v>1960</v>
      </c>
      <c r="O61" s="80" t="s">
        <v>1576</v>
      </c>
      <c r="P61" s="114">
        <v>2008.0</v>
      </c>
      <c r="Q61" s="127"/>
      <c r="R61" s="127"/>
      <c r="S61" s="127"/>
      <c r="T61" s="127"/>
      <c r="U61" s="127"/>
      <c r="V61" s="127"/>
      <c r="W61" s="127"/>
      <c r="X61" s="127"/>
      <c r="Y61" s="127"/>
      <c r="Z61" s="127"/>
      <c r="AA61" s="127"/>
      <c r="AB61" s="127"/>
      <c r="AC61" s="127"/>
      <c r="AD61" s="127"/>
      <c r="AE61" s="127"/>
      <c r="AF61" s="127"/>
      <c r="AG61" s="127"/>
      <c r="AH61" s="127"/>
      <c r="AI61" s="127"/>
      <c r="AJ61" s="127"/>
      <c r="AK61" s="127"/>
      <c r="AL61" s="127"/>
      <c r="AM61" s="127"/>
      <c r="AN61" s="127"/>
      <c r="AO61" s="127"/>
      <c r="AP61" s="127"/>
      <c r="AQ61" s="127"/>
      <c r="AR61" s="127"/>
      <c r="AS61" s="127"/>
      <c r="AT61" s="127"/>
      <c r="AU61" s="127"/>
      <c r="AV61" s="127"/>
      <c r="AW61" s="127"/>
    </row>
    <row r="62">
      <c r="A62" s="80" t="s">
        <v>1961</v>
      </c>
      <c r="B62" s="113" t="s">
        <v>1962</v>
      </c>
      <c r="C62" s="61" t="b">
        <f t="shared" si="6"/>
        <v>0</v>
      </c>
      <c r="D62" s="61" t="b">
        <f t="shared" si="7"/>
        <v>0</v>
      </c>
      <c r="E62" s="80">
        <v>0.0</v>
      </c>
      <c r="F62" s="216">
        <v>0.0</v>
      </c>
      <c r="G62" s="216">
        <v>1.0</v>
      </c>
      <c r="H62" s="61" t="b">
        <f t="shared" si="8"/>
        <v>0</v>
      </c>
      <c r="I62" s="80">
        <v>0.0</v>
      </c>
      <c r="J62" s="80">
        <v>0.0</v>
      </c>
      <c r="K62" s="80">
        <v>0.0</v>
      </c>
      <c r="L62" s="80" t="s">
        <v>1963</v>
      </c>
      <c r="M62" s="80" t="s">
        <v>1964</v>
      </c>
      <c r="N62" s="114" t="s">
        <v>1965</v>
      </c>
      <c r="O62" s="80" t="s">
        <v>215</v>
      </c>
      <c r="P62" s="80">
        <v>2005.0</v>
      </c>
    </row>
    <row r="63">
      <c r="A63" s="80" t="s">
        <v>1966</v>
      </c>
      <c r="B63" s="113" t="s">
        <v>1967</v>
      </c>
      <c r="C63" s="61" t="b">
        <f t="shared" si="6"/>
        <v>0</v>
      </c>
      <c r="D63" s="61" t="b">
        <f t="shared" si="7"/>
        <v>1</v>
      </c>
      <c r="E63" s="80">
        <v>1.0</v>
      </c>
      <c r="F63" s="80">
        <v>1.0</v>
      </c>
      <c r="G63" s="80">
        <v>1.0</v>
      </c>
      <c r="H63" s="61" t="b">
        <f t="shared" si="8"/>
        <v>0</v>
      </c>
      <c r="I63" s="80">
        <v>0.0</v>
      </c>
      <c r="J63" s="80">
        <v>0.0</v>
      </c>
      <c r="K63" s="80">
        <v>1.0</v>
      </c>
      <c r="M63" s="80" t="s">
        <v>1968</v>
      </c>
      <c r="N63" s="114" t="s">
        <v>1969</v>
      </c>
      <c r="O63" s="80" t="s">
        <v>1856</v>
      </c>
      <c r="P63" s="80">
        <v>2005.0</v>
      </c>
    </row>
    <row r="64">
      <c r="A64" s="80" t="s">
        <v>1970</v>
      </c>
      <c r="B64" s="113" t="s">
        <v>1971</v>
      </c>
      <c r="C64" s="61" t="b">
        <f t="shared" si="6"/>
        <v>0</v>
      </c>
      <c r="D64" s="61" t="b">
        <f t="shared" si="7"/>
        <v>1</v>
      </c>
      <c r="E64" s="80">
        <v>1.0</v>
      </c>
      <c r="F64" s="80">
        <v>1.0</v>
      </c>
      <c r="G64" s="80">
        <v>1.0</v>
      </c>
      <c r="H64" s="61" t="b">
        <f t="shared" si="8"/>
        <v>0</v>
      </c>
      <c r="I64" s="80">
        <v>0.0</v>
      </c>
      <c r="J64" s="80">
        <v>0.0</v>
      </c>
      <c r="K64" s="80">
        <v>0.0</v>
      </c>
      <c r="L64" s="80" t="s">
        <v>1972</v>
      </c>
      <c r="M64" s="80" t="s">
        <v>1968</v>
      </c>
      <c r="N64" s="114" t="s">
        <v>1973</v>
      </c>
      <c r="O64" s="80" t="s">
        <v>1594</v>
      </c>
      <c r="P64" s="80">
        <v>2005.0</v>
      </c>
    </row>
    <row r="65">
      <c r="A65" s="80" t="s">
        <v>1974</v>
      </c>
      <c r="B65" s="113" t="s">
        <v>1975</v>
      </c>
      <c r="C65" s="61" t="b">
        <f t="shared" si="6"/>
        <v>0</v>
      </c>
      <c r="D65" s="61" t="b">
        <f t="shared" si="7"/>
        <v>1</v>
      </c>
      <c r="E65" s="80">
        <v>1.0</v>
      </c>
      <c r="F65" s="80">
        <v>1.0</v>
      </c>
      <c r="G65" s="80">
        <v>1.0</v>
      </c>
      <c r="H65" s="61" t="b">
        <f t="shared" si="8"/>
        <v>0</v>
      </c>
      <c r="I65" s="80">
        <v>0.0</v>
      </c>
      <c r="J65" s="80">
        <v>0.0</v>
      </c>
      <c r="K65" s="80">
        <v>0.0</v>
      </c>
      <c r="L65" s="80" t="s">
        <v>1976</v>
      </c>
      <c r="M65" s="80" t="s">
        <v>1977</v>
      </c>
      <c r="N65" s="114" t="s">
        <v>1978</v>
      </c>
      <c r="O65" s="80" t="s">
        <v>1979</v>
      </c>
      <c r="P65" s="80">
        <v>2002.0</v>
      </c>
    </row>
    <row r="66">
      <c r="A66" s="80" t="s">
        <v>1980</v>
      </c>
      <c r="B66" s="113" t="s">
        <v>1981</v>
      </c>
      <c r="C66" s="61" t="b">
        <f t="shared" si="6"/>
        <v>0</v>
      </c>
      <c r="D66" s="61" t="b">
        <f t="shared" si="7"/>
        <v>1</v>
      </c>
      <c r="E66" s="80">
        <v>1.0</v>
      </c>
      <c r="F66" s="80">
        <v>1.0</v>
      </c>
      <c r="G66" s="80">
        <v>1.0</v>
      </c>
      <c r="H66" s="61" t="b">
        <f t="shared" si="8"/>
        <v>0</v>
      </c>
      <c r="I66" s="80">
        <v>0.0</v>
      </c>
      <c r="J66" s="80">
        <v>0.0</v>
      </c>
      <c r="K66" s="80">
        <v>0.0</v>
      </c>
      <c r="M66" s="80" t="s">
        <v>1982</v>
      </c>
      <c r="N66" s="114" t="s">
        <v>1983</v>
      </c>
      <c r="O66" s="80" t="s">
        <v>1574</v>
      </c>
      <c r="P66" s="80">
        <v>1996.0</v>
      </c>
      <c r="Q66" s="80" t="s">
        <v>250</v>
      </c>
    </row>
    <row r="67">
      <c r="A67" s="80" t="s">
        <v>1984</v>
      </c>
      <c r="B67" s="113" t="s">
        <v>1985</v>
      </c>
      <c r="C67" s="61" t="b">
        <f t="shared" si="6"/>
        <v>0</v>
      </c>
      <c r="D67" s="61" t="b">
        <f t="shared" si="7"/>
        <v>0</v>
      </c>
      <c r="E67" s="80">
        <v>0.0</v>
      </c>
      <c r="F67" s="80">
        <v>0.0</v>
      </c>
      <c r="G67" s="80">
        <v>0.0</v>
      </c>
      <c r="H67" s="61" t="b">
        <f t="shared" si="8"/>
        <v>1</v>
      </c>
      <c r="I67" s="80">
        <v>1.0</v>
      </c>
      <c r="J67" s="80">
        <v>1.0</v>
      </c>
      <c r="K67" s="80">
        <v>1.0</v>
      </c>
      <c r="M67" s="80" t="s">
        <v>1986</v>
      </c>
      <c r="N67" s="114" t="s">
        <v>1987</v>
      </c>
      <c r="O67" s="80" t="s">
        <v>1988</v>
      </c>
      <c r="P67" s="80">
        <v>2009.0</v>
      </c>
      <c r="Q67" s="80" t="s">
        <v>250</v>
      </c>
    </row>
    <row r="68">
      <c r="A68" s="80" t="s">
        <v>1168</v>
      </c>
      <c r="B68" s="229"/>
      <c r="G68" s="80">
        <v>1.0</v>
      </c>
      <c r="K68" s="80">
        <v>1.0</v>
      </c>
      <c r="M68" s="80" t="s">
        <v>1989</v>
      </c>
      <c r="N68" s="114" t="s">
        <v>1171</v>
      </c>
      <c r="O68" s="80" t="s">
        <v>450</v>
      </c>
      <c r="P68" s="80">
        <v>2004.0</v>
      </c>
    </row>
    <row r="69">
      <c r="A69" s="80" t="s">
        <v>1990</v>
      </c>
      <c r="B69" s="113" t="s">
        <v>1991</v>
      </c>
      <c r="C69" s="61" t="b">
        <f>and(D69,H69)</f>
        <v>0</v>
      </c>
      <c r="D69" s="61" t="b">
        <f>SUM(E69:G69)&gt;=2</f>
        <v>0</v>
      </c>
      <c r="E69" s="80">
        <v>0.0</v>
      </c>
      <c r="F69" s="80">
        <v>0.0</v>
      </c>
      <c r="G69" s="80">
        <v>0.0</v>
      </c>
      <c r="H69" s="61" t="b">
        <f>SUM(I69:K69)&gt;=2</f>
        <v>1</v>
      </c>
      <c r="I69" s="80">
        <v>1.0</v>
      </c>
      <c r="J69" s="80">
        <v>1.0</v>
      </c>
      <c r="K69" s="80">
        <v>1.0</v>
      </c>
      <c r="M69" s="80" t="s">
        <v>1992</v>
      </c>
      <c r="N69" s="114" t="s">
        <v>1993</v>
      </c>
      <c r="O69" s="80" t="s">
        <v>465</v>
      </c>
      <c r="P69" s="80">
        <v>2002.0</v>
      </c>
    </row>
    <row r="71">
      <c r="A71" s="114" t="s">
        <v>1994</v>
      </c>
      <c r="B71" s="113" t="s">
        <v>1995</v>
      </c>
      <c r="C71" s="80" t="s">
        <v>210</v>
      </c>
      <c r="D71" s="250"/>
      <c r="E71" s="61" t="b">
        <f>and(F71,J71)</f>
        <v>1</v>
      </c>
      <c r="F71" s="61" t="b">
        <f>SUM(G71:I71)&gt;=2</f>
        <v>1</v>
      </c>
      <c r="G71" s="80">
        <v>0.0</v>
      </c>
      <c r="H71" s="80">
        <v>1.0</v>
      </c>
      <c r="I71" s="80">
        <v>1.0</v>
      </c>
      <c r="J71" s="61" t="b">
        <f>SUM(K71:M71)&gt;=2</f>
        <v>1</v>
      </c>
      <c r="K71" s="80">
        <v>1.0</v>
      </c>
      <c r="L71" s="80">
        <v>1.0</v>
      </c>
      <c r="M71" s="80">
        <v>1.0</v>
      </c>
      <c r="N71" s="80" t="s">
        <v>1996</v>
      </c>
      <c r="O71" s="80" t="s">
        <v>1654</v>
      </c>
      <c r="P71" s="80" t="s">
        <v>1997</v>
      </c>
      <c r="R71" s="80" t="s">
        <v>1606</v>
      </c>
      <c r="S71" s="80">
        <v>2009.0</v>
      </c>
      <c r="T71" s="80" t="s">
        <v>216</v>
      </c>
      <c r="AS71" s="61" t="str">
        <f>if(and(AQ71="x",AR71="x"), "x", "")</f>
        <v/>
      </c>
    </row>
    <row r="74">
      <c r="A74" s="124" t="s">
        <v>1998</v>
      </c>
      <c r="B74" s="113" t="s">
        <v>1999</v>
      </c>
      <c r="C74" s="80" t="s">
        <v>210</v>
      </c>
      <c r="D74" s="80" t="s">
        <v>217</v>
      </c>
      <c r="E74" s="61" t="b">
        <f t="shared" ref="E74:E75" si="9">and(F74,J74)</f>
        <v>1</v>
      </c>
      <c r="F74" s="61" t="b">
        <f t="shared" ref="F74:F75" si="10">SUM(G74:I74)&gt;=2</f>
        <v>1</v>
      </c>
      <c r="G74" s="80">
        <v>1.0</v>
      </c>
      <c r="H74" s="80">
        <v>1.0</v>
      </c>
      <c r="I74" s="80">
        <v>1.0</v>
      </c>
      <c r="J74" s="61" t="b">
        <f t="shared" ref="J74:J75" si="11">SUM(K74:M74)&gt;=2</f>
        <v>1</v>
      </c>
      <c r="K74" s="80">
        <v>0.0</v>
      </c>
      <c r="L74" s="80">
        <v>1.0</v>
      </c>
      <c r="M74" s="80">
        <v>1.0</v>
      </c>
      <c r="N74" s="115" t="s">
        <v>2000</v>
      </c>
      <c r="O74" s="80" t="s">
        <v>2001</v>
      </c>
      <c r="P74" s="114" t="s">
        <v>2002</v>
      </c>
      <c r="Q74" s="80" t="s">
        <v>266</v>
      </c>
      <c r="S74" s="80" t="s">
        <v>1562</v>
      </c>
      <c r="T74" s="80">
        <v>2000.0</v>
      </c>
      <c r="U74" s="80" t="s">
        <v>250</v>
      </c>
      <c r="V74" s="80" t="s">
        <v>217</v>
      </c>
      <c r="X74" s="80" t="s">
        <v>217</v>
      </c>
      <c r="Y74" s="80" t="s">
        <v>217</v>
      </c>
      <c r="AB74" s="80" t="s">
        <v>217</v>
      </c>
      <c r="AI74" s="80" t="s">
        <v>217</v>
      </c>
      <c r="AL74" s="80" t="s">
        <v>217</v>
      </c>
      <c r="AR74" s="80" t="s">
        <v>217</v>
      </c>
      <c r="AS74" s="80" t="s">
        <v>217</v>
      </c>
      <c r="AT74" s="61" t="str">
        <f t="shared" ref="AT74:AT75" si="12">if(and(AR74="x",AS74="x"), "x", "")</f>
        <v>x</v>
      </c>
      <c r="AU74" s="80" t="s">
        <v>217</v>
      </c>
      <c r="AX74" s="80" t="s">
        <v>217</v>
      </c>
      <c r="BI74" s="80" t="s">
        <v>217</v>
      </c>
      <c r="BR74" s="80" t="s">
        <v>217</v>
      </c>
      <c r="BV74" s="80" t="s">
        <v>217</v>
      </c>
      <c r="CA74" s="80" t="s">
        <v>2003</v>
      </c>
      <c r="CC74" s="80" t="s">
        <v>217</v>
      </c>
      <c r="CD74" s="80" t="s">
        <v>217</v>
      </c>
      <c r="CH74" s="80" t="s">
        <v>217</v>
      </c>
      <c r="CM74" s="80" t="s">
        <v>217</v>
      </c>
      <c r="CY74" s="80">
        <v>1.0</v>
      </c>
      <c r="CZ74" s="80" t="s">
        <v>2004</v>
      </c>
      <c r="DA74" s="112">
        <v>100.0</v>
      </c>
      <c r="DB74" s="80" t="s">
        <v>2005</v>
      </c>
      <c r="DC74" s="80" t="s">
        <v>217</v>
      </c>
    </row>
    <row r="75">
      <c r="A75" s="124" t="s">
        <v>2006</v>
      </c>
      <c r="B75" s="113" t="s">
        <v>2007</v>
      </c>
      <c r="C75" s="80" t="s">
        <v>210</v>
      </c>
      <c r="D75" s="80" t="s">
        <v>217</v>
      </c>
      <c r="E75" s="61" t="b">
        <f t="shared" si="9"/>
        <v>1</v>
      </c>
      <c r="F75" s="61" t="b">
        <f t="shared" si="10"/>
        <v>1</v>
      </c>
      <c r="G75" s="80">
        <v>1.0</v>
      </c>
      <c r="H75" s="80">
        <v>1.0</v>
      </c>
      <c r="I75" s="80">
        <v>1.0</v>
      </c>
      <c r="J75" s="61" t="b">
        <f t="shared" si="11"/>
        <v>1</v>
      </c>
      <c r="K75" s="80">
        <v>0.0</v>
      </c>
      <c r="L75" s="80">
        <v>1.0</v>
      </c>
      <c r="M75" s="80">
        <v>1.0</v>
      </c>
      <c r="O75" s="80" t="s">
        <v>2008</v>
      </c>
      <c r="P75" s="114" t="s">
        <v>2002</v>
      </c>
      <c r="Q75" s="80" t="s">
        <v>266</v>
      </c>
      <c r="S75" s="80" t="s">
        <v>413</v>
      </c>
      <c r="T75" s="80">
        <v>2000.0</v>
      </c>
      <c r="U75" s="80" t="s">
        <v>268</v>
      </c>
      <c r="V75" s="80" t="s">
        <v>217</v>
      </c>
      <c r="X75" s="80" t="s">
        <v>217</v>
      </c>
      <c r="Y75" s="80" t="s">
        <v>217</v>
      </c>
      <c r="AB75" s="80" t="s">
        <v>217</v>
      </c>
      <c r="AI75" s="80" t="s">
        <v>217</v>
      </c>
      <c r="AL75" s="80" t="s">
        <v>217</v>
      </c>
      <c r="AR75" s="80" t="s">
        <v>217</v>
      </c>
      <c r="AS75" s="80" t="s">
        <v>217</v>
      </c>
      <c r="AT75" s="61" t="str">
        <f t="shared" si="12"/>
        <v>x</v>
      </c>
      <c r="AU75" s="80" t="s">
        <v>217</v>
      </c>
      <c r="AX75" s="80" t="s">
        <v>217</v>
      </c>
      <c r="BI75" s="80" t="s">
        <v>217</v>
      </c>
      <c r="BR75" s="80" t="s">
        <v>217</v>
      </c>
      <c r="BV75" s="80" t="s">
        <v>217</v>
      </c>
      <c r="CA75" s="80" t="s">
        <v>2003</v>
      </c>
      <c r="CC75" s="80" t="s">
        <v>217</v>
      </c>
      <c r="CD75" s="80" t="s">
        <v>217</v>
      </c>
      <c r="CH75" s="80" t="s">
        <v>217</v>
      </c>
      <c r="CM75" s="80" t="s">
        <v>217</v>
      </c>
      <c r="CY75" s="80">
        <v>1.0</v>
      </c>
      <c r="CZ75" s="80" t="s">
        <v>2009</v>
      </c>
      <c r="DA75" s="112">
        <v>100.0</v>
      </c>
      <c r="DB75" s="80" t="s">
        <v>2005</v>
      </c>
      <c r="DC75" s="80" t="s">
        <v>217</v>
      </c>
    </row>
    <row r="78">
      <c r="A78" s="77" t="s">
        <v>2010</v>
      </c>
      <c r="B78" s="251"/>
      <c r="C78" s="251"/>
      <c r="D78" s="251"/>
      <c r="E78" s="251"/>
      <c r="F78" s="251"/>
      <c r="G78" s="251"/>
      <c r="H78" s="251"/>
      <c r="I78" s="251"/>
      <c r="J78" s="251"/>
      <c r="K78" s="251"/>
      <c r="L78" s="251"/>
      <c r="M78" s="251"/>
      <c r="N78" s="251"/>
      <c r="O78" s="251"/>
      <c r="P78" s="251"/>
      <c r="Q78" s="251"/>
      <c r="R78" s="251"/>
      <c r="S78" s="251"/>
      <c r="T78" s="251"/>
      <c r="U78" s="251"/>
      <c r="V78" s="251"/>
      <c r="W78" s="251"/>
      <c r="X78" s="251"/>
      <c r="Y78" s="251"/>
      <c r="Z78" s="251"/>
      <c r="AA78" s="251"/>
      <c r="AB78" s="251"/>
      <c r="AC78" s="251"/>
      <c r="AD78" s="251"/>
      <c r="AE78" s="251"/>
      <c r="AF78" s="251"/>
      <c r="AG78" s="251"/>
      <c r="AH78" s="251"/>
      <c r="AI78" s="251"/>
      <c r="AJ78" s="251"/>
      <c r="AK78" s="251"/>
      <c r="AL78" s="251"/>
      <c r="AM78" s="251"/>
      <c r="AN78" s="251"/>
      <c r="AO78" s="251"/>
      <c r="AP78" s="251"/>
      <c r="AQ78" s="251"/>
      <c r="AR78" s="251"/>
      <c r="AS78" s="251"/>
      <c r="AT78" s="251"/>
      <c r="AU78" s="251"/>
      <c r="AV78" s="251"/>
      <c r="AW78" s="251"/>
      <c r="AX78" s="251"/>
      <c r="AY78" s="251"/>
      <c r="AZ78" s="251"/>
      <c r="BA78" s="251"/>
      <c r="BB78" s="251"/>
      <c r="BC78" s="251"/>
      <c r="BD78" s="251"/>
      <c r="BE78" s="251"/>
      <c r="BF78" s="251"/>
      <c r="BG78" s="251"/>
      <c r="BH78" s="251"/>
      <c r="BI78" s="251"/>
      <c r="BJ78" s="251"/>
      <c r="BK78" s="251"/>
      <c r="BL78" s="251"/>
      <c r="BM78" s="251"/>
      <c r="BN78" s="251"/>
      <c r="BO78" s="251"/>
      <c r="BP78" s="251"/>
      <c r="BQ78" s="251"/>
      <c r="BR78" s="251"/>
      <c r="BS78" s="251"/>
      <c r="BT78" s="251"/>
      <c r="BU78" s="251"/>
      <c r="BV78" s="251"/>
      <c r="BW78" s="251"/>
      <c r="BX78" s="251"/>
      <c r="BY78" s="251"/>
      <c r="BZ78" s="251"/>
      <c r="CA78" s="251"/>
      <c r="CB78" s="251"/>
      <c r="CC78" s="251"/>
      <c r="CD78" s="251"/>
      <c r="CE78" s="251"/>
      <c r="CF78" s="251"/>
      <c r="CG78" s="251"/>
      <c r="CH78" s="251"/>
      <c r="CI78" s="251"/>
      <c r="CJ78" s="251"/>
      <c r="CK78" s="251"/>
      <c r="CL78" s="251"/>
      <c r="CM78" s="251"/>
      <c r="CN78" s="251"/>
      <c r="CO78" s="251"/>
      <c r="CP78" s="251"/>
      <c r="CQ78" s="251"/>
      <c r="CR78" s="251"/>
      <c r="CS78" s="251"/>
      <c r="CT78" s="251"/>
      <c r="CU78" s="251"/>
      <c r="CV78" s="251"/>
      <c r="CW78" s="251"/>
      <c r="CX78" s="251"/>
      <c r="CY78" s="251"/>
      <c r="CZ78" s="251"/>
      <c r="DA78" s="251"/>
      <c r="DB78" s="251"/>
      <c r="DC78" s="251"/>
      <c r="DD78" s="251"/>
      <c r="DE78" s="251"/>
      <c r="DF78" s="251"/>
      <c r="DG78" s="251"/>
      <c r="DH78" s="251"/>
    </row>
    <row r="79" ht="1.5" customHeight="1">
      <c r="A79" s="80" t="s">
        <v>1388</v>
      </c>
      <c r="B79" s="113" t="s">
        <v>1389</v>
      </c>
      <c r="C79" s="80" t="s">
        <v>210</v>
      </c>
      <c r="D79" s="80" t="s">
        <v>1390</v>
      </c>
      <c r="E79" s="80" t="s">
        <v>217</v>
      </c>
      <c r="F79" s="80" t="s">
        <v>209</v>
      </c>
      <c r="G79" s="80" t="s">
        <v>211</v>
      </c>
      <c r="J79" s="80">
        <v>1.0</v>
      </c>
      <c r="N79" s="80" t="b">
        <v>1</v>
      </c>
      <c r="O79" s="80" t="b">
        <v>1</v>
      </c>
      <c r="P79" s="80">
        <v>1.0</v>
      </c>
      <c r="Q79" s="80">
        <v>1.0</v>
      </c>
      <c r="R79" s="80">
        <v>1.0</v>
      </c>
      <c r="S79" s="80" t="b">
        <v>1</v>
      </c>
      <c r="T79" s="80">
        <v>1.0</v>
      </c>
      <c r="U79" s="80">
        <v>1.0</v>
      </c>
      <c r="V79" s="80">
        <v>1.0</v>
      </c>
      <c r="W79" s="80" t="s">
        <v>1391</v>
      </c>
      <c r="Z79" s="114" t="s">
        <v>1392</v>
      </c>
      <c r="AA79" s="80" t="s">
        <v>555</v>
      </c>
      <c r="AB79" s="80" t="s">
        <v>217</v>
      </c>
      <c r="AC79" s="80">
        <v>1.0</v>
      </c>
      <c r="AD79" s="80" t="s">
        <v>475</v>
      </c>
      <c r="AE79" s="80">
        <v>0.0</v>
      </c>
      <c r="AF79" s="80">
        <v>2011.0</v>
      </c>
      <c r="AG79" s="80" t="s">
        <v>231</v>
      </c>
      <c r="AH79" s="80">
        <v>1.0</v>
      </c>
      <c r="AI79" s="181">
        <v>1.0</v>
      </c>
      <c r="AJ79" s="80">
        <v>1.0</v>
      </c>
      <c r="AS79" s="80" t="s">
        <v>217</v>
      </c>
      <c r="AV79" s="80">
        <v>1.0</v>
      </c>
      <c r="AX79" s="80" t="s">
        <v>217</v>
      </c>
      <c r="BD79" s="80" t="s">
        <v>217</v>
      </c>
      <c r="BG79" s="80" t="s">
        <v>217</v>
      </c>
      <c r="BI79" s="80" t="s">
        <v>217</v>
      </c>
      <c r="BJ79" s="80" t="s">
        <v>217</v>
      </c>
      <c r="BO79" s="216" t="s">
        <v>217</v>
      </c>
      <c r="BP79" s="80">
        <v>3.0</v>
      </c>
      <c r="BQ79" s="80" t="s">
        <v>217</v>
      </c>
      <c r="BS79" s="80" t="s">
        <v>217</v>
      </c>
      <c r="BT79" s="80" t="s">
        <v>217</v>
      </c>
      <c r="CF79" s="80" t="s">
        <v>217</v>
      </c>
      <c r="CM79" s="80">
        <v>1.0</v>
      </c>
      <c r="CN79" s="80" t="s">
        <v>217</v>
      </c>
      <c r="CS79" s="80">
        <v>1.0</v>
      </c>
      <c r="CU79" s="80" t="s">
        <v>217</v>
      </c>
      <c r="CX79" s="80" t="s">
        <v>2011</v>
      </c>
      <c r="DA79" s="80" t="s">
        <v>217</v>
      </c>
      <c r="DG79" s="80" t="s">
        <v>217</v>
      </c>
      <c r="DI79" s="80" t="s">
        <v>217</v>
      </c>
      <c r="DM79" s="80" t="s">
        <v>217</v>
      </c>
      <c r="DO79" s="80" t="s">
        <v>217</v>
      </c>
      <c r="DS79" s="80" t="s">
        <v>217</v>
      </c>
      <c r="ED79" s="80">
        <v>19.0</v>
      </c>
      <c r="EE79" s="80" t="s">
        <v>1393</v>
      </c>
      <c r="EF79" s="116"/>
      <c r="EG79" s="80" t="s">
        <v>1394</v>
      </c>
      <c r="EI79" s="80" t="s">
        <v>217</v>
      </c>
      <c r="EJ79" s="80" t="s">
        <v>217</v>
      </c>
    </row>
    <row r="80">
      <c r="A80" s="80" t="s">
        <v>1415</v>
      </c>
      <c r="B80" s="113" t="s">
        <v>2012</v>
      </c>
      <c r="C80" s="80" t="s">
        <v>301</v>
      </c>
      <c r="D80" s="80" t="s">
        <v>2013</v>
      </c>
      <c r="N80" s="61" t="b">
        <f t="shared" ref="N80:N81" si="13">and(O80,S80)</f>
        <v>0</v>
      </c>
      <c r="O80" s="61" t="b">
        <f t="shared" ref="O80:O81" si="14">if(AVERAGE(P80:R80)&gt;=5, TRUE, FALSE)</f>
        <v>0</v>
      </c>
      <c r="P80" s="80">
        <v>7.0</v>
      </c>
      <c r="Q80" s="80">
        <v>1.0</v>
      </c>
      <c r="R80" s="80">
        <v>2.0</v>
      </c>
      <c r="S80" s="61" t="b">
        <f t="shared" ref="S80:S81" si="15">if(AVERAGE(T80:V80)&gt;=5, TRUE, FALSE)</f>
        <v>0</v>
      </c>
      <c r="T80" s="80">
        <v>6.0</v>
      </c>
      <c r="U80" s="80">
        <v>0.0</v>
      </c>
      <c r="W80" s="124" t="s">
        <v>2014</v>
      </c>
    </row>
    <row r="81">
      <c r="A81" s="80" t="s">
        <v>1420</v>
      </c>
      <c r="B81" s="113" t="s">
        <v>1421</v>
      </c>
      <c r="C81" s="80" t="s">
        <v>301</v>
      </c>
      <c r="D81" s="80" t="s">
        <v>1422</v>
      </c>
      <c r="N81" s="61" t="b">
        <f t="shared" si="13"/>
        <v>0</v>
      </c>
      <c r="O81" s="61" t="b">
        <f t="shared" si="14"/>
        <v>0</v>
      </c>
      <c r="P81" s="80">
        <v>1.0</v>
      </c>
      <c r="Q81" s="80">
        <v>1.0</v>
      </c>
      <c r="R81" s="80">
        <v>1.0</v>
      </c>
      <c r="S81" s="61" t="b">
        <f t="shared" si="15"/>
        <v>0</v>
      </c>
      <c r="T81" s="80">
        <v>5.0</v>
      </c>
      <c r="U81" s="80">
        <v>1.0</v>
      </c>
      <c r="V81" s="80">
        <v>1.0</v>
      </c>
      <c r="W81" s="80" t="s">
        <v>2015</v>
      </c>
      <c r="Z81" s="80" t="s">
        <v>2016</v>
      </c>
      <c r="AA81" s="80" t="s">
        <v>266</v>
      </c>
      <c r="AD81" s="80" t="s">
        <v>2017</v>
      </c>
      <c r="AF81" s="80">
        <v>2012.0</v>
      </c>
      <c r="AG81" s="80" t="s">
        <v>1617</v>
      </c>
    </row>
    <row r="82">
      <c r="A82" s="80" t="s">
        <v>1423</v>
      </c>
      <c r="B82" s="126" t="s">
        <v>2018</v>
      </c>
      <c r="C82" s="80" t="s">
        <v>301</v>
      </c>
      <c r="D82" s="80" t="s">
        <v>1425</v>
      </c>
      <c r="N82" s="80" t="b">
        <v>0</v>
      </c>
      <c r="O82" s="80" t="b">
        <v>0</v>
      </c>
      <c r="P82" s="80">
        <v>1.0</v>
      </c>
      <c r="Q82" s="80">
        <v>0.0</v>
      </c>
      <c r="R82" s="80">
        <v>0.0</v>
      </c>
      <c r="S82" s="80" t="b">
        <v>0</v>
      </c>
      <c r="T82" s="80">
        <v>7.0</v>
      </c>
      <c r="U82" s="80">
        <v>0.0</v>
      </c>
      <c r="W82" s="80" t="s">
        <v>2019</v>
      </c>
    </row>
    <row r="83">
      <c r="A83" s="80" t="s">
        <v>1426</v>
      </c>
      <c r="B83" s="126" t="s">
        <v>1427</v>
      </c>
      <c r="C83" s="80" t="s">
        <v>301</v>
      </c>
      <c r="D83" s="80" t="s">
        <v>1428</v>
      </c>
      <c r="N83" s="80" t="b">
        <v>0</v>
      </c>
      <c r="O83" s="80" t="b">
        <v>0</v>
      </c>
      <c r="P83" s="80">
        <v>8.0</v>
      </c>
      <c r="Q83" s="80">
        <v>2.0</v>
      </c>
      <c r="R83" s="80">
        <v>2.0</v>
      </c>
      <c r="S83" s="80" t="b">
        <v>0</v>
      </c>
      <c r="T83" s="80">
        <v>6.0</v>
      </c>
      <c r="U83" s="80">
        <v>0.0</v>
      </c>
      <c r="W83" s="80" t="s">
        <v>1673</v>
      </c>
      <c r="Z83" s="80" t="s">
        <v>1674</v>
      </c>
      <c r="AA83" s="80" t="s">
        <v>1675</v>
      </c>
      <c r="AB83" s="80" t="s">
        <v>217</v>
      </c>
      <c r="AD83" s="80" t="s">
        <v>1610</v>
      </c>
      <c r="AF83" s="80">
        <v>2011.0</v>
      </c>
      <c r="AG83" s="80" t="s">
        <v>250</v>
      </c>
    </row>
    <row r="84">
      <c r="A84" s="80" t="s">
        <v>1430</v>
      </c>
      <c r="B84" s="113" t="s">
        <v>2020</v>
      </c>
      <c r="C84" s="80" t="s">
        <v>301</v>
      </c>
      <c r="D84" s="80" t="s">
        <v>2021</v>
      </c>
      <c r="N84" s="61" t="b">
        <f t="shared" ref="N84:N85" si="16">and(O84,S84)</f>
        <v>0</v>
      </c>
      <c r="O84" s="61" t="b">
        <f t="shared" ref="O84:O85" si="17">if(AVERAGE(P84:R84)&gt;=5, TRUE, FALSE)</f>
        <v>1</v>
      </c>
      <c r="P84" s="80">
        <v>8.0</v>
      </c>
      <c r="Q84" s="80">
        <v>6.0</v>
      </c>
      <c r="R84" s="80">
        <v>7.0</v>
      </c>
      <c r="S84" s="61" t="b">
        <f t="shared" ref="S84:S85" si="18">if(AVERAGE(T84:V84)&gt;=5, TRUE, FALSE)</f>
        <v>0</v>
      </c>
      <c r="T84" s="80">
        <v>5.0</v>
      </c>
      <c r="U84" s="80">
        <v>1.0</v>
      </c>
      <c r="V84" s="80">
        <v>2.0</v>
      </c>
      <c r="W84" s="80" t="s">
        <v>2022</v>
      </c>
      <c r="Z84" s="127"/>
    </row>
    <row r="85">
      <c r="A85" s="80" t="s">
        <v>1433</v>
      </c>
      <c r="B85" s="113" t="s">
        <v>1434</v>
      </c>
      <c r="C85" s="80" t="s">
        <v>301</v>
      </c>
      <c r="D85" s="80" t="s">
        <v>2023</v>
      </c>
      <c r="N85" s="61" t="b">
        <f t="shared" si="16"/>
        <v>0</v>
      </c>
      <c r="O85" s="61" t="b">
        <f t="shared" si="17"/>
        <v>1</v>
      </c>
      <c r="P85" s="80">
        <v>6.0</v>
      </c>
      <c r="Q85" s="80">
        <v>6.0</v>
      </c>
      <c r="R85" s="80">
        <v>7.0</v>
      </c>
      <c r="S85" s="61" t="b">
        <f t="shared" si="18"/>
        <v>0</v>
      </c>
      <c r="T85" s="80">
        <v>5.0</v>
      </c>
      <c r="U85" s="80">
        <v>2.0</v>
      </c>
      <c r="V85" s="80">
        <v>4.0</v>
      </c>
      <c r="W85" s="80" t="s">
        <v>2022</v>
      </c>
      <c r="Z85" s="127"/>
    </row>
    <row r="87">
      <c r="B87" s="113" t="s">
        <v>1440</v>
      </c>
      <c r="C87" s="80" t="s">
        <v>301</v>
      </c>
      <c r="D87" s="80" t="s">
        <v>2024</v>
      </c>
      <c r="N87" s="61" t="b">
        <f t="shared" ref="N87:N90" si="19">and(O87,S87)</f>
        <v>0</v>
      </c>
      <c r="O87" s="61" t="b">
        <f t="shared" ref="O87:O90" si="20">if(AVERAGE(P87:R87)&gt;=5, TRUE, FALSE)</f>
        <v>1</v>
      </c>
      <c r="P87" s="80">
        <v>5.0</v>
      </c>
      <c r="Q87" s="80">
        <v>6.0</v>
      </c>
      <c r="R87" s="80">
        <v>7.0</v>
      </c>
      <c r="S87" s="61" t="b">
        <f t="shared" ref="S87:S90" si="21">if(AVERAGE(T87:V87)&gt;=5, TRUE, FALSE)</f>
        <v>0</v>
      </c>
      <c r="T87" s="80">
        <v>5.0</v>
      </c>
      <c r="U87" s="80">
        <v>1.0</v>
      </c>
      <c r="V87" s="80">
        <v>7.0</v>
      </c>
      <c r="W87" s="115" t="s">
        <v>2025</v>
      </c>
      <c r="Z87" s="127"/>
    </row>
    <row r="88">
      <c r="A88" s="80" t="s">
        <v>1442</v>
      </c>
      <c r="B88" s="126" t="s">
        <v>1443</v>
      </c>
      <c r="C88" s="80" t="s">
        <v>301</v>
      </c>
      <c r="D88" s="80" t="s">
        <v>1444</v>
      </c>
      <c r="N88" s="61" t="b">
        <f t="shared" si="19"/>
        <v>0</v>
      </c>
      <c r="O88" s="61" t="b">
        <f t="shared" si="20"/>
        <v>1</v>
      </c>
      <c r="P88" s="80">
        <v>8.0</v>
      </c>
      <c r="Q88" s="80">
        <v>7.0</v>
      </c>
      <c r="R88" s="80">
        <v>8.0</v>
      </c>
      <c r="S88" s="61" t="b">
        <f t="shared" si="21"/>
        <v>0</v>
      </c>
      <c r="T88" s="80">
        <v>5.0</v>
      </c>
      <c r="U88" s="80">
        <v>3.0</v>
      </c>
      <c r="V88" s="80">
        <v>4.0</v>
      </c>
      <c r="W88" s="115" t="s">
        <v>2026</v>
      </c>
      <c r="Z88" s="127"/>
    </row>
    <row r="89">
      <c r="A89" s="80" t="s">
        <v>1446</v>
      </c>
      <c r="B89" s="113" t="s">
        <v>1447</v>
      </c>
      <c r="C89" s="80" t="s">
        <v>301</v>
      </c>
      <c r="D89" s="80" t="s">
        <v>2027</v>
      </c>
      <c r="E89" s="122"/>
      <c r="N89" s="61" t="b">
        <f t="shared" si="19"/>
        <v>0</v>
      </c>
      <c r="O89" s="61" t="b">
        <f t="shared" si="20"/>
        <v>1</v>
      </c>
      <c r="P89" s="80">
        <v>5.0</v>
      </c>
      <c r="Q89" s="80">
        <v>5.0</v>
      </c>
      <c r="R89" s="80">
        <v>6.0</v>
      </c>
      <c r="S89" s="61" t="b">
        <f t="shared" si="21"/>
        <v>0</v>
      </c>
      <c r="T89" s="80">
        <v>5.0</v>
      </c>
      <c r="U89" s="80">
        <v>1.0</v>
      </c>
      <c r="V89" s="80">
        <v>8.0</v>
      </c>
      <c r="W89" s="115" t="s">
        <v>2028</v>
      </c>
      <c r="Z89" s="127"/>
    </row>
    <row r="90">
      <c r="A90" s="80" t="s">
        <v>1449</v>
      </c>
      <c r="B90" s="113" t="s">
        <v>1450</v>
      </c>
      <c r="C90" s="80" t="s">
        <v>301</v>
      </c>
      <c r="D90" s="80">
        <v>2008.0</v>
      </c>
      <c r="E90" s="122"/>
      <c r="N90" s="61" t="b">
        <f t="shared" si="19"/>
        <v>0</v>
      </c>
      <c r="O90" s="61" t="b">
        <f t="shared" si="20"/>
        <v>1</v>
      </c>
      <c r="P90" s="80">
        <v>7.0</v>
      </c>
      <c r="Q90" s="80">
        <v>7.0</v>
      </c>
      <c r="R90" s="80">
        <v>8.0</v>
      </c>
      <c r="S90" s="61" t="b">
        <f t="shared" si="21"/>
        <v>0</v>
      </c>
      <c r="T90" s="80">
        <v>6.0</v>
      </c>
      <c r="U90" s="80">
        <v>0.0</v>
      </c>
      <c r="V90" s="80">
        <v>4.0</v>
      </c>
      <c r="W90" s="115" t="s">
        <v>2029</v>
      </c>
      <c r="Z90" s="127"/>
    </row>
    <row r="92">
      <c r="A92" s="80" t="s">
        <v>1455</v>
      </c>
      <c r="B92" s="126" t="s">
        <v>1456</v>
      </c>
      <c r="C92" s="80" t="s">
        <v>301</v>
      </c>
      <c r="D92" s="80" t="s">
        <v>1457</v>
      </c>
      <c r="N92" s="61" t="b">
        <f t="shared" ref="N92:N105" si="22">and(O92,S92)</f>
        <v>0</v>
      </c>
      <c r="O92" s="61" t="b">
        <f t="shared" ref="O92:O105" si="23">if(AVERAGE(P92:R92)&gt;=5, TRUE, FALSE)</f>
        <v>1</v>
      </c>
      <c r="P92" s="80">
        <v>6.0</v>
      </c>
      <c r="Q92" s="80">
        <v>6.0</v>
      </c>
      <c r="R92" s="80">
        <v>7.0</v>
      </c>
      <c r="S92" s="61" t="b">
        <f t="shared" ref="S92:S105" si="24">if(AVERAGE(T92:V92)&gt;=5, TRUE, FALSE)</f>
        <v>0</v>
      </c>
      <c r="T92" s="80">
        <v>5.0</v>
      </c>
      <c r="U92" s="80">
        <v>3.0</v>
      </c>
      <c r="V92" s="80">
        <v>3.0</v>
      </c>
      <c r="W92" s="115" t="s">
        <v>2030</v>
      </c>
      <c r="Z92" s="127"/>
    </row>
    <row r="93">
      <c r="A93" s="80" t="s">
        <v>1458</v>
      </c>
      <c r="B93" s="126" t="s">
        <v>1459</v>
      </c>
      <c r="C93" s="80" t="s">
        <v>301</v>
      </c>
      <c r="D93" s="80" t="s">
        <v>1460</v>
      </c>
      <c r="E93" s="122"/>
      <c r="N93" s="61" t="b">
        <f t="shared" si="22"/>
        <v>0</v>
      </c>
      <c r="O93" s="61" t="b">
        <f t="shared" si="23"/>
        <v>0</v>
      </c>
      <c r="P93" s="80">
        <v>7.0</v>
      </c>
      <c r="Q93" s="80">
        <v>2.0</v>
      </c>
      <c r="R93" s="80">
        <v>5.0</v>
      </c>
      <c r="S93" s="61" t="b">
        <f t="shared" si="24"/>
        <v>1</v>
      </c>
      <c r="T93" s="80">
        <v>7.0</v>
      </c>
      <c r="U93" s="80">
        <v>5.0</v>
      </c>
      <c r="V93" s="80">
        <v>6.0</v>
      </c>
      <c r="W93" s="115" t="s">
        <v>2031</v>
      </c>
      <c r="Z93" s="127"/>
    </row>
    <row r="94">
      <c r="A94" s="80" t="s">
        <v>1461</v>
      </c>
      <c r="B94" s="113" t="s">
        <v>1462</v>
      </c>
      <c r="C94" s="80" t="s">
        <v>301</v>
      </c>
      <c r="D94" s="80" t="s">
        <v>2032</v>
      </c>
      <c r="E94" s="122"/>
      <c r="N94" s="61" t="b">
        <f t="shared" si="22"/>
        <v>0</v>
      </c>
      <c r="O94" s="61" t="b">
        <f t="shared" si="23"/>
        <v>0</v>
      </c>
      <c r="P94" s="80">
        <v>8.0</v>
      </c>
      <c r="Q94" s="80">
        <v>2.0</v>
      </c>
      <c r="R94" s="80">
        <v>2.0</v>
      </c>
      <c r="S94" s="61" t="b">
        <f t="shared" si="24"/>
        <v>0</v>
      </c>
      <c r="T94" s="80">
        <v>5.0</v>
      </c>
      <c r="U94" s="80">
        <v>2.0</v>
      </c>
      <c r="W94" s="115" t="s">
        <v>2033</v>
      </c>
      <c r="Z94" s="127"/>
    </row>
    <row r="95">
      <c r="A95" s="80" t="s">
        <v>1471</v>
      </c>
      <c r="B95" s="126" t="s">
        <v>2034</v>
      </c>
      <c r="C95" s="80" t="s">
        <v>301</v>
      </c>
      <c r="D95" s="80" t="s">
        <v>2035</v>
      </c>
      <c r="E95" s="122"/>
      <c r="N95" s="61" t="b">
        <f t="shared" si="22"/>
        <v>0</v>
      </c>
      <c r="O95" s="61" t="b">
        <f t="shared" si="23"/>
        <v>0</v>
      </c>
      <c r="P95" s="80">
        <v>4.0</v>
      </c>
      <c r="Q95" s="80">
        <v>2.0</v>
      </c>
      <c r="R95" s="80">
        <v>3.0</v>
      </c>
      <c r="S95" s="61" t="b">
        <f t="shared" si="24"/>
        <v>1</v>
      </c>
      <c r="T95" s="80">
        <v>7.0</v>
      </c>
      <c r="U95" s="80">
        <v>7.0</v>
      </c>
      <c r="V95" s="80">
        <v>7.0</v>
      </c>
      <c r="W95" s="115" t="s">
        <v>2036</v>
      </c>
      <c r="Z95" s="127"/>
    </row>
    <row r="96">
      <c r="A96" s="80" t="s">
        <v>1468</v>
      </c>
      <c r="B96" s="126" t="s">
        <v>2037</v>
      </c>
      <c r="C96" s="80" t="s">
        <v>301</v>
      </c>
      <c r="D96" s="80" t="s">
        <v>1470</v>
      </c>
      <c r="E96" s="122"/>
      <c r="N96" s="61" t="b">
        <f t="shared" si="22"/>
        <v>0</v>
      </c>
      <c r="O96" s="61" t="b">
        <f t="shared" si="23"/>
        <v>1</v>
      </c>
      <c r="P96" s="80">
        <v>7.0</v>
      </c>
      <c r="Q96" s="80">
        <v>7.0</v>
      </c>
      <c r="R96" s="80">
        <v>6.0</v>
      </c>
      <c r="S96" s="61" t="b">
        <f t="shared" si="24"/>
        <v>0</v>
      </c>
      <c r="T96" s="80">
        <v>6.0</v>
      </c>
      <c r="U96" s="80">
        <v>3.0</v>
      </c>
      <c r="V96" s="80">
        <v>4.0</v>
      </c>
      <c r="W96" s="115" t="s">
        <v>2038</v>
      </c>
      <c r="Z96" s="127"/>
    </row>
    <row r="97">
      <c r="A97" s="80" t="s">
        <v>1477</v>
      </c>
      <c r="B97" s="126" t="s">
        <v>2039</v>
      </c>
      <c r="C97" s="80" t="s">
        <v>301</v>
      </c>
      <c r="D97" s="80" t="s">
        <v>2040</v>
      </c>
      <c r="N97" s="61" t="b">
        <f t="shared" si="22"/>
        <v>0</v>
      </c>
      <c r="O97" s="61" t="b">
        <f t="shared" si="23"/>
        <v>0</v>
      </c>
      <c r="P97" s="80">
        <v>1.0</v>
      </c>
      <c r="Q97" s="80">
        <v>1.0</v>
      </c>
      <c r="R97" s="80">
        <v>2.0</v>
      </c>
      <c r="S97" s="61" t="b">
        <f t="shared" si="24"/>
        <v>0</v>
      </c>
      <c r="T97" s="80">
        <v>7.0</v>
      </c>
      <c r="U97" s="80">
        <v>0.0</v>
      </c>
      <c r="W97" s="115" t="s">
        <v>2041</v>
      </c>
      <c r="Z97" s="127"/>
    </row>
    <row r="98">
      <c r="A98" s="80" t="s">
        <v>1480</v>
      </c>
      <c r="B98" s="113" t="s">
        <v>1481</v>
      </c>
      <c r="C98" s="80" t="s">
        <v>301</v>
      </c>
      <c r="D98" s="80" t="s">
        <v>2042</v>
      </c>
      <c r="N98" s="61" t="b">
        <f t="shared" si="22"/>
        <v>0</v>
      </c>
      <c r="O98" s="61" t="b">
        <f t="shared" si="23"/>
        <v>0</v>
      </c>
      <c r="P98" s="80">
        <v>3.0</v>
      </c>
      <c r="Q98" s="80">
        <v>3.0</v>
      </c>
      <c r="R98" s="80">
        <v>3.0</v>
      </c>
      <c r="S98" s="61" t="b">
        <f t="shared" si="24"/>
        <v>0</v>
      </c>
      <c r="T98" s="80">
        <v>5.0</v>
      </c>
      <c r="U98" s="80">
        <v>0.0</v>
      </c>
      <c r="W98" s="115" t="s">
        <v>2043</v>
      </c>
      <c r="Z98" s="127"/>
    </row>
    <row r="99">
      <c r="A99" s="80" t="s">
        <v>1489</v>
      </c>
      <c r="B99" s="113" t="s">
        <v>1490</v>
      </c>
      <c r="C99" s="80" t="s">
        <v>301</v>
      </c>
      <c r="D99" s="80" t="s">
        <v>2044</v>
      </c>
      <c r="E99" s="122"/>
      <c r="N99" s="61" t="b">
        <f t="shared" si="22"/>
        <v>0</v>
      </c>
      <c r="O99" s="61" t="b">
        <f t="shared" si="23"/>
        <v>1</v>
      </c>
      <c r="P99" s="80">
        <v>6.0</v>
      </c>
      <c r="Q99" s="80">
        <v>5.0</v>
      </c>
      <c r="R99" s="80">
        <v>6.0</v>
      </c>
      <c r="S99" s="61" t="b">
        <f t="shared" si="24"/>
        <v>0</v>
      </c>
      <c r="T99" s="80">
        <v>5.0</v>
      </c>
      <c r="U99" s="80">
        <v>1.0</v>
      </c>
      <c r="V99" s="80">
        <v>3.0</v>
      </c>
      <c r="W99" s="115" t="s">
        <v>2045</v>
      </c>
      <c r="Z99" s="127"/>
    </row>
    <row r="100">
      <c r="A100" s="80" t="s">
        <v>1492</v>
      </c>
      <c r="B100" s="113" t="s">
        <v>1493</v>
      </c>
      <c r="C100" s="80" t="s">
        <v>301</v>
      </c>
      <c r="D100" s="80" t="s">
        <v>2046</v>
      </c>
      <c r="N100" s="61" t="b">
        <f t="shared" si="22"/>
        <v>0</v>
      </c>
      <c r="O100" s="61" t="b">
        <f t="shared" si="23"/>
        <v>0</v>
      </c>
      <c r="P100" s="80">
        <v>1.0</v>
      </c>
      <c r="Q100" s="80">
        <v>2.0</v>
      </c>
      <c r="R100" s="80">
        <v>3.0</v>
      </c>
      <c r="S100" s="61" t="b">
        <f t="shared" si="24"/>
        <v>0</v>
      </c>
      <c r="T100" s="80">
        <v>3.0</v>
      </c>
      <c r="U100" s="80">
        <v>2.0</v>
      </c>
      <c r="V100" s="80">
        <v>1.0</v>
      </c>
      <c r="W100" s="115" t="s">
        <v>2047</v>
      </c>
      <c r="Z100" s="127"/>
    </row>
    <row r="101">
      <c r="A101" s="80" t="s">
        <v>1498</v>
      </c>
      <c r="B101" s="126" t="s">
        <v>2048</v>
      </c>
      <c r="C101" s="80" t="s">
        <v>301</v>
      </c>
      <c r="D101" s="80" t="s">
        <v>2049</v>
      </c>
      <c r="N101" s="61" t="b">
        <f t="shared" si="22"/>
        <v>0</v>
      </c>
      <c r="O101" s="61" t="b">
        <f t="shared" si="23"/>
        <v>0</v>
      </c>
      <c r="P101" s="80">
        <v>7.0</v>
      </c>
      <c r="Q101" s="80">
        <v>4.0</v>
      </c>
      <c r="R101" s="80">
        <v>2.0</v>
      </c>
      <c r="S101" s="61" t="b">
        <f t="shared" si="24"/>
        <v>0</v>
      </c>
      <c r="T101" s="80">
        <v>5.0</v>
      </c>
      <c r="U101" s="80">
        <v>3.0</v>
      </c>
      <c r="W101" s="115" t="s">
        <v>2050</v>
      </c>
      <c r="Z101" s="127"/>
    </row>
    <row r="102">
      <c r="A102" s="80" t="s">
        <v>1508</v>
      </c>
      <c r="B102" s="126" t="s">
        <v>1509</v>
      </c>
      <c r="C102" s="80" t="s">
        <v>301</v>
      </c>
      <c r="D102" s="80" t="s">
        <v>2051</v>
      </c>
      <c r="N102" s="61" t="b">
        <f t="shared" si="22"/>
        <v>0</v>
      </c>
      <c r="O102" s="61" t="b">
        <f t="shared" si="23"/>
        <v>0</v>
      </c>
      <c r="Q102" s="80">
        <v>1.0</v>
      </c>
      <c r="R102" s="80">
        <v>1.0</v>
      </c>
      <c r="S102" s="61" t="b">
        <f t="shared" si="24"/>
        <v>0</v>
      </c>
      <c r="U102" s="80">
        <v>1.0</v>
      </c>
      <c r="W102" s="115" t="s">
        <v>2052</v>
      </c>
      <c r="Z102" s="127"/>
    </row>
    <row r="103">
      <c r="A103" s="80" t="s">
        <v>1516</v>
      </c>
      <c r="B103" s="126" t="s">
        <v>2053</v>
      </c>
      <c r="C103" s="80" t="s">
        <v>301</v>
      </c>
      <c r="D103" s="80" t="s">
        <v>2054</v>
      </c>
      <c r="N103" s="61" t="b">
        <f t="shared" si="22"/>
        <v>0</v>
      </c>
      <c r="O103" s="61" t="b">
        <f t="shared" si="23"/>
        <v>1</v>
      </c>
      <c r="P103" s="80">
        <v>7.0</v>
      </c>
      <c r="Q103" s="80">
        <v>3.0</v>
      </c>
      <c r="R103" s="80">
        <v>6.0</v>
      </c>
      <c r="S103" s="61" t="b">
        <f t="shared" si="24"/>
        <v>0</v>
      </c>
      <c r="T103" s="80">
        <v>4.0</v>
      </c>
      <c r="U103" s="80">
        <v>3.0</v>
      </c>
      <c r="V103" s="80">
        <v>3.0</v>
      </c>
      <c r="W103" s="115" t="s">
        <v>2055</v>
      </c>
      <c r="Z103" s="127"/>
    </row>
    <row r="104">
      <c r="A104" s="80" t="s">
        <v>1484</v>
      </c>
      <c r="B104" s="126" t="s">
        <v>2056</v>
      </c>
      <c r="C104" s="80" t="s">
        <v>301</v>
      </c>
      <c r="D104" s="80" t="s">
        <v>2057</v>
      </c>
      <c r="N104" s="61" t="b">
        <f t="shared" si="22"/>
        <v>0</v>
      </c>
      <c r="O104" s="61" t="b">
        <f t="shared" si="23"/>
        <v>0</v>
      </c>
      <c r="P104" s="80">
        <v>6.0</v>
      </c>
      <c r="Q104" s="80">
        <v>2.0</v>
      </c>
      <c r="R104" s="80">
        <v>2.0</v>
      </c>
      <c r="S104" s="61" t="b">
        <f t="shared" si="24"/>
        <v>0</v>
      </c>
      <c r="T104" s="80">
        <v>7.0</v>
      </c>
      <c r="U104" s="80">
        <v>0.0</v>
      </c>
      <c r="V104" s="80">
        <v>5.0</v>
      </c>
      <c r="W104" s="115" t="s">
        <v>2058</v>
      </c>
      <c r="Z104" s="127"/>
    </row>
    <row r="105">
      <c r="A105" s="80" t="s">
        <v>1465</v>
      </c>
      <c r="B105" s="113" t="s">
        <v>1466</v>
      </c>
      <c r="C105" s="80" t="s">
        <v>301</v>
      </c>
      <c r="D105" s="80" t="s">
        <v>2059</v>
      </c>
      <c r="E105" s="80" t="s">
        <v>210</v>
      </c>
      <c r="N105" s="61" t="b">
        <f t="shared" si="22"/>
        <v>0</v>
      </c>
      <c r="O105" s="61" t="b">
        <f t="shared" si="23"/>
        <v>1</v>
      </c>
      <c r="P105" s="80">
        <v>8.0</v>
      </c>
      <c r="Q105" s="80">
        <v>6.0</v>
      </c>
      <c r="R105" s="80">
        <v>7.0</v>
      </c>
      <c r="S105" s="61" t="b">
        <f t="shared" si="24"/>
        <v>0</v>
      </c>
      <c r="T105" s="80">
        <v>7.0</v>
      </c>
      <c r="U105" s="80">
        <v>1.0</v>
      </c>
      <c r="V105" s="80">
        <v>6.0</v>
      </c>
      <c r="W105" s="189" t="s">
        <v>2060</v>
      </c>
      <c r="Z105" s="114" t="s">
        <v>2061</v>
      </c>
      <c r="CW105" s="61" t="str">
        <f t="shared" ref="CW105:CW109" si="25">if(and(CU105="x",CV105="x"), "both", "")</f>
        <v/>
      </c>
      <c r="CX105" s="61" t="str">
        <f t="shared" ref="CX105:CX109" si="26">if(and(CU105="x",CV105=""), "FM", "")</f>
        <v/>
      </c>
      <c r="CY105" s="61" t="str">
        <f t="shared" ref="CY105:CY109" si="27">if(and(CV105="x",CU105=""), "FA", "")</f>
        <v/>
      </c>
      <c r="DS105" s="61">
        <f t="shared" ref="DS105:DS109" si="28">sum(DP105:DR105)</f>
        <v>0</v>
      </c>
      <c r="DX105" s="61">
        <f t="shared" ref="DX105:DX109" si="29">sum(DT105:DW105)</f>
        <v>0</v>
      </c>
    </row>
    <row r="106">
      <c r="A106" s="80" t="s">
        <v>1374</v>
      </c>
      <c r="B106" s="113" t="s">
        <v>1375</v>
      </c>
      <c r="C106" s="80" t="s">
        <v>245</v>
      </c>
      <c r="E106" s="252" t="str">
        <f t="shared" ref="E106:E108" si="30">if(or(AY106="x", AZ106="x"), "x", "")</f>
        <v>x</v>
      </c>
      <c r="F106" s="80" t="s">
        <v>1376</v>
      </c>
      <c r="G106" s="80" t="s">
        <v>209</v>
      </c>
      <c r="H106" s="80" t="s">
        <v>211</v>
      </c>
      <c r="I106" s="61" t="str">
        <f t="shared" ref="I106:I107" si="31">if(AND(C106="Aysu", G106="Vahid"), 1, "")</f>
        <v/>
      </c>
      <c r="J106" s="61" t="str">
        <f t="shared" ref="J106:J107" si="32">if(AND(C106="Aysu", G106="Ali"), 1, "")</f>
        <v/>
      </c>
      <c r="K106" s="61" t="str">
        <f t="shared" ref="K106:K107" si="33">if(AND(C106="Vahid", G106="Aysu"), 1, "")</f>
        <v/>
      </c>
      <c r="L106" s="61" t="str">
        <f t="shared" ref="L106:L107" si="34">if(AND(C106="Vahid", G106="Ali"), 1, "")</f>
        <v/>
      </c>
      <c r="M106" s="61" t="str">
        <f t="shared" ref="M106:M107" si="35">if(AND(C106="Ali", G106="Vahid"), 1, "")</f>
        <v/>
      </c>
      <c r="N106" s="61">
        <f t="shared" ref="N106:N107" si="36">if(AND(C106="Ali", G106="Aysu"), 1, "")</f>
        <v>1</v>
      </c>
      <c r="O106" s="61" t="b">
        <f t="shared" ref="O106:O109" si="37">and(P106,T106)</f>
        <v>1</v>
      </c>
      <c r="P106" s="61" t="b">
        <f t="shared" ref="P106:P107" si="38">SUM(Q106:S106)&gt;=2</f>
        <v>1</v>
      </c>
      <c r="Q106" s="80">
        <v>1.0</v>
      </c>
      <c r="R106" s="80">
        <v>1.0</v>
      </c>
      <c r="S106" s="80">
        <v>1.0</v>
      </c>
      <c r="T106" s="61" t="b">
        <f t="shared" ref="T106:T107" si="39">SUM(U106:W106)&gt;=2</f>
        <v>1</v>
      </c>
      <c r="U106" s="80">
        <v>1.0</v>
      </c>
      <c r="V106" s="80">
        <v>1.0</v>
      </c>
      <c r="W106" s="80">
        <v>1.0</v>
      </c>
      <c r="Y106" s="61" t="str">
        <f t="shared" ref="Y106:Y107" si="40">iferror(if(find("Pollock", AA106)&gt;0,concat(F106,", "), ""))</f>
        <v>Sampath:ase04, </v>
      </c>
      <c r="Z106" s="61" t="str">
        <f>if(ER106="x",concat(F106,", "), "")</f>
        <v/>
      </c>
      <c r="AA106" s="114" t="s">
        <v>1377</v>
      </c>
      <c r="AB106" s="80" t="s">
        <v>266</v>
      </c>
      <c r="AD106" s="61">
        <f>countif('Charts-SLR'!A:A,AB106)</f>
        <v>1</v>
      </c>
      <c r="AE106" s="80" t="s">
        <v>450</v>
      </c>
      <c r="AF106" s="61">
        <f t="shared" ref="AF106:AF107" si="41">countif({},AE106)</f>
        <v>0</v>
      </c>
      <c r="AG106" s="80">
        <v>2004.0</v>
      </c>
      <c r="AH106" s="80" t="s">
        <v>250</v>
      </c>
      <c r="AI106" s="80">
        <v>47.0</v>
      </c>
      <c r="AJ106" s="108">
        <f t="shared" ref="AJ106:AJ107" si="42">AI106/(2012-AG106)</f>
        <v>5.875</v>
      </c>
      <c r="AK106" s="61" t="str">
        <f t="shared" ref="AK106:AK107" si="43">if(AH106="J",AI106,"")</f>
        <v/>
      </c>
      <c r="AL106" s="61">
        <f t="shared" ref="AL106:AL107" si="44">if(AH106="C",AI106,"")</f>
        <v>47</v>
      </c>
      <c r="AM106" s="61" t="str">
        <f t="shared" ref="AM106:AM107" si="45">if(AH106="W", AI106,"")</f>
        <v/>
      </c>
      <c r="AN106" s="61" t="str">
        <f t="shared" ref="AN106:AN107" si="46">if(AH106="M",AI106,"")</f>
        <v/>
      </c>
      <c r="AO106" s="61" t="str">
        <f t="shared" ref="AO106:AO107" si="47">if(AH106="S",AI106,"")</f>
        <v/>
      </c>
      <c r="AP106" s="61" t="str">
        <f t="shared" ref="AP106:AP107" si="48">if(AV106="x",concat(F106,", "), "")</f>
        <v/>
      </c>
      <c r="AQ106" s="80" t="s">
        <v>217</v>
      </c>
      <c r="AT106" s="80" t="s">
        <v>217</v>
      </c>
      <c r="AW106" s="61">
        <f t="shared" ref="AW106:AW107" si="49">COUNTA(AQ106:AV106)</f>
        <v>2</v>
      </c>
      <c r="AY106" s="80" t="s">
        <v>217</v>
      </c>
      <c r="BE106" s="80" t="s">
        <v>217</v>
      </c>
      <c r="BF106" s="80" t="s">
        <v>217</v>
      </c>
      <c r="BH106" s="80" t="s">
        <v>217</v>
      </c>
      <c r="BK106" s="80" t="s">
        <v>217</v>
      </c>
      <c r="BO106" s="80" t="s">
        <v>217</v>
      </c>
      <c r="BP106" s="218" t="str">
        <f t="shared" ref="BP106:BP109" si="50">if(and(BN106="x",BO106="x"), "x", "")</f>
        <v/>
      </c>
      <c r="BR106" s="80" t="s">
        <v>217</v>
      </c>
      <c r="BS106" s="80" t="s">
        <v>217</v>
      </c>
      <c r="BY106" s="80" t="s">
        <v>217</v>
      </c>
      <c r="CK106" s="80" t="s">
        <v>217</v>
      </c>
      <c r="CM106" s="80" t="s">
        <v>217</v>
      </c>
      <c r="CN106" s="61">
        <f t="shared" ref="CN106:CN107" si="51">counta(CC106:CM106)</f>
        <v>2</v>
      </c>
      <c r="CO106" s="80" t="s">
        <v>217</v>
      </c>
      <c r="CT106" s="61">
        <f t="shared" ref="CT106:CT107" si="52">counta(CO106:CS106)</f>
        <v>1</v>
      </c>
      <c r="CV106" s="80" t="s">
        <v>217</v>
      </c>
      <c r="CW106" s="61" t="str">
        <f t="shared" si="25"/>
        <v/>
      </c>
      <c r="CX106" s="61" t="str">
        <f t="shared" si="26"/>
        <v/>
      </c>
      <c r="CY106" s="61" t="str">
        <f t="shared" si="27"/>
        <v>FA</v>
      </c>
      <c r="CZ106" s="80" t="s">
        <v>217</v>
      </c>
      <c r="DC106" s="80" t="s">
        <v>217</v>
      </c>
      <c r="DE106" s="80" t="s">
        <v>217</v>
      </c>
      <c r="DF106" s="80" t="s">
        <v>217</v>
      </c>
      <c r="DG106" s="80" t="s">
        <v>217</v>
      </c>
      <c r="DI106" s="80" t="s">
        <v>217</v>
      </c>
      <c r="DK106" s="80" t="s">
        <v>217</v>
      </c>
      <c r="DN106" s="80" t="s">
        <v>2062</v>
      </c>
      <c r="DO106" s="80" t="s">
        <v>365</v>
      </c>
      <c r="DP106" s="80">
        <v>1.0</v>
      </c>
      <c r="DQ106" s="80">
        <v>1.0</v>
      </c>
      <c r="DR106" s="80">
        <v>0.0</v>
      </c>
      <c r="DS106" s="61">
        <f t="shared" si="28"/>
        <v>2</v>
      </c>
      <c r="DT106" s="80">
        <v>0.0</v>
      </c>
      <c r="DU106" s="80">
        <v>0.0</v>
      </c>
      <c r="DV106" s="80" t="s">
        <v>189</v>
      </c>
      <c r="DW106" s="61" t="str">
        <f>if(EY106&lt;1000, "0", if(EY106&lt;10000, "0.5","1"))</f>
        <v>0.5</v>
      </c>
      <c r="DX106" s="61">
        <f t="shared" si="29"/>
        <v>0</v>
      </c>
      <c r="DZ106" s="80" t="s">
        <v>217</v>
      </c>
      <c r="EA106" s="61" t="str">
        <f t="shared" ref="EA106:EA107" si="53">if(and(DY106="",DZ106=""), "both", "")</f>
        <v/>
      </c>
      <c r="EB106" s="80" t="s">
        <v>217</v>
      </c>
      <c r="ED106" s="61" t="str">
        <f t="shared" ref="ED106:ED107" si="54">if(and(EC106="x",EB106="x"), "both", "")</f>
        <v/>
      </c>
      <c r="EE106" s="61" t="str">
        <f t="shared" ref="EE106:EE107" si="55">if(and(EB106="",EC106=""), "none", "")</f>
        <v/>
      </c>
      <c r="EI106" s="80" t="s">
        <v>217</v>
      </c>
      <c r="EM106" s="80" t="s">
        <v>217</v>
      </c>
      <c r="EW106" s="80">
        <v>1.0</v>
      </c>
      <c r="EX106" s="80" t="s">
        <v>296</v>
      </c>
      <c r="EY106" s="112">
        <v>9748.0</v>
      </c>
      <c r="EZ106" s="80" t="s">
        <v>297</v>
      </c>
      <c r="FB106" s="80" t="s">
        <v>217</v>
      </c>
      <c r="FD106" s="80" t="s">
        <v>1379</v>
      </c>
    </row>
    <row r="107">
      <c r="A107" s="80" t="s">
        <v>1383</v>
      </c>
      <c r="B107" s="113" t="s">
        <v>1384</v>
      </c>
      <c r="C107" s="80" t="s">
        <v>209</v>
      </c>
      <c r="E107" s="252" t="str">
        <f t="shared" si="30"/>
        <v>x</v>
      </c>
      <c r="F107" s="80" t="s">
        <v>1385</v>
      </c>
      <c r="G107" s="80" t="s">
        <v>245</v>
      </c>
      <c r="H107" s="80" t="s">
        <v>227</v>
      </c>
      <c r="I107" s="61" t="str">
        <f t="shared" si="31"/>
        <v/>
      </c>
      <c r="J107" s="61">
        <f t="shared" si="32"/>
        <v>1</v>
      </c>
      <c r="K107" s="61" t="str">
        <f t="shared" si="33"/>
        <v/>
      </c>
      <c r="L107" s="61" t="str">
        <f t="shared" si="34"/>
        <v/>
      </c>
      <c r="M107" s="61" t="str">
        <f t="shared" si="35"/>
        <v/>
      </c>
      <c r="N107" s="61" t="str">
        <f t="shared" si="36"/>
        <v/>
      </c>
      <c r="O107" s="61" t="b">
        <f t="shared" si="37"/>
        <v>1</v>
      </c>
      <c r="P107" s="61" t="b">
        <f t="shared" si="38"/>
        <v>1</v>
      </c>
      <c r="Q107" s="80">
        <v>1.0</v>
      </c>
      <c r="R107" s="80">
        <v>1.0</v>
      </c>
      <c r="S107" s="80">
        <v>1.0</v>
      </c>
      <c r="T107" s="61" t="b">
        <f t="shared" si="39"/>
        <v>1</v>
      </c>
      <c r="U107" s="80">
        <v>1.0</v>
      </c>
      <c r="V107" s="80">
        <v>1.0</v>
      </c>
      <c r="W107" s="80">
        <v>1.0</v>
      </c>
      <c r="Y107" s="61" t="str">
        <f t="shared" si="40"/>
        <v/>
      </c>
      <c r="Z107" s="61" t="str">
        <f>if(ES107="x",concat(F107,", "), "")</f>
        <v/>
      </c>
      <c r="AA107" s="114" t="s">
        <v>1386</v>
      </c>
      <c r="AB107" s="80" t="s">
        <v>464</v>
      </c>
      <c r="AD107" s="61">
        <f>countif('Charts-SLR'!A:A,AB107)</f>
        <v>1</v>
      </c>
      <c r="AE107" s="80" t="s">
        <v>1387</v>
      </c>
      <c r="AF107" s="61">
        <f t="shared" si="41"/>
        <v>0</v>
      </c>
      <c r="AG107" s="80">
        <v>2009.0</v>
      </c>
      <c r="AH107" s="80" t="s">
        <v>231</v>
      </c>
      <c r="AI107" s="80">
        <v>9.0</v>
      </c>
      <c r="AJ107" s="108">
        <f t="shared" si="42"/>
        <v>3</v>
      </c>
      <c r="AK107" s="61">
        <f t="shared" si="43"/>
        <v>9</v>
      </c>
      <c r="AL107" s="61" t="str">
        <f t="shared" si="44"/>
        <v/>
      </c>
      <c r="AM107" s="61" t="str">
        <f t="shared" si="45"/>
        <v/>
      </c>
      <c r="AN107" s="61" t="str">
        <f t="shared" si="46"/>
        <v/>
      </c>
      <c r="AO107" s="61" t="str">
        <f t="shared" si="47"/>
        <v/>
      </c>
      <c r="AP107" s="61" t="str">
        <f t="shared" si="48"/>
        <v/>
      </c>
      <c r="AS107" s="80" t="s">
        <v>217</v>
      </c>
      <c r="AW107" s="61">
        <f t="shared" si="49"/>
        <v>1</v>
      </c>
      <c r="AY107" s="80" t="s">
        <v>217</v>
      </c>
      <c r="BE107" s="80" t="s">
        <v>217</v>
      </c>
      <c r="BH107" s="80" t="s">
        <v>217</v>
      </c>
      <c r="BN107" s="80" t="s">
        <v>217</v>
      </c>
      <c r="BP107" s="218" t="str">
        <f t="shared" si="50"/>
        <v/>
      </c>
      <c r="BQ107" s="61">
        <f>if(BN107="x", 1, if(BO107="x", 2, 3))</f>
        <v>1</v>
      </c>
      <c r="BR107" s="80" t="s">
        <v>217</v>
      </c>
      <c r="CM107" s="80" t="s">
        <v>217</v>
      </c>
      <c r="CN107" s="61">
        <f t="shared" si="51"/>
        <v>1</v>
      </c>
      <c r="CO107" s="80" t="s">
        <v>217</v>
      </c>
      <c r="CT107" s="61">
        <f t="shared" si="52"/>
        <v>1</v>
      </c>
      <c r="CU107" s="80" t="s">
        <v>217</v>
      </c>
      <c r="CW107" s="61" t="str">
        <f t="shared" si="25"/>
        <v/>
      </c>
      <c r="CX107" s="61" t="str">
        <f t="shared" si="26"/>
        <v>FM</v>
      </c>
      <c r="CY107" s="61" t="str">
        <f t="shared" si="27"/>
        <v/>
      </c>
      <c r="DS107" s="61">
        <f t="shared" si="28"/>
        <v>0</v>
      </c>
      <c r="DW107" s="61" t="str">
        <f t="shared" ref="DW107:DW109" si="56">if(EZ107&lt;1000, "0", if(EZ107&lt;10000, "0.5","1"))</f>
        <v>0</v>
      </c>
      <c r="DX107" s="61">
        <f t="shared" si="29"/>
        <v>0</v>
      </c>
      <c r="DZ107" s="80" t="s">
        <v>217</v>
      </c>
      <c r="EA107" s="61" t="str">
        <f t="shared" si="53"/>
        <v/>
      </c>
      <c r="EB107" s="80" t="s">
        <v>217</v>
      </c>
      <c r="ED107" s="61" t="str">
        <f t="shared" si="54"/>
        <v/>
      </c>
      <c r="EE107" s="61" t="str">
        <f t="shared" si="55"/>
        <v/>
      </c>
      <c r="EG107" s="80" t="s">
        <v>217</v>
      </c>
      <c r="EI107" s="80" t="s">
        <v>217</v>
      </c>
      <c r="EL107" s="80" t="s">
        <v>217</v>
      </c>
      <c r="EZ107" s="116"/>
    </row>
    <row r="108">
      <c r="A108" s="80" t="s">
        <v>1511</v>
      </c>
      <c r="B108" s="126" t="s">
        <v>1512</v>
      </c>
      <c r="C108" s="80" t="s">
        <v>301</v>
      </c>
      <c r="E108" s="61" t="str">
        <f t="shared" si="30"/>
        <v/>
      </c>
      <c r="F108" s="80" t="s">
        <v>2063</v>
      </c>
      <c r="G108" s="80" t="s">
        <v>209</v>
      </c>
      <c r="O108" s="61" t="b">
        <f t="shared" si="37"/>
        <v>1</v>
      </c>
      <c r="P108" s="61" t="b">
        <f t="shared" ref="P108:P109" si="57">if(AVERAGE(Q108:S108)&gt;=5, TRUE, FALSE)</f>
        <v>1</v>
      </c>
      <c r="Q108" s="80">
        <v>8.0</v>
      </c>
      <c r="R108" s="80">
        <v>7.0</v>
      </c>
      <c r="S108" s="80">
        <v>8.0</v>
      </c>
      <c r="T108" s="61" t="b">
        <f t="shared" ref="T108:T109" si="58">if(AVERAGE(U108:W108)&gt;=5, TRUE, FALSE)</f>
        <v>1</v>
      </c>
      <c r="U108" s="80">
        <v>7.0</v>
      </c>
      <c r="V108" s="80">
        <v>7.0</v>
      </c>
      <c r="W108" s="80">
        <v>7.0</v>
      </c>
      <c r="X108" s="115" t="s">
        <v>2064</v>
      </c>
      <c r="AA108" s="127"/>
      <c r="BP108" s="61" t="str">
        <f t="shared" si="50"/>
        <v/>
      </c>
      <c r="CW108" s="61" t="str">
        <f t="shared" si="25"/>
        <v/>
      </c>
      <c r="CX108" s="61" t="str">
        <f t="shared" si="26"/>
        <v/>
      </c>
      <c r="CY108" s="61" t="str">
        <f t="shared" si="27"/>
        <v/>
      </c>
      <c r="DS108" s="61">
        <f t="shared" si="28"/>
        <v>0</v>
      </c>
      <c r="DW108" s="61" t="str">
        <f t="shared" si="56"/>
        <v>0</v>
      </c>
      <c r="DX108" s="61">
        <f t="shared" si="29"/>
        <v>0</v>
      </c>
    </row>
    <row r="109">
      <c r="A109" s="80" t="s">
        <v>1436</v>
      </c>
      <c r="B109" s="113" t="s">
        <v>1437</v>
      </c>
      <c r="C109" s="80" t="s">
        <v>301</v>
      </c>
      <c r="D109" s="80" t="s">
        <v>210</v>
      </c>
      <c r="F109" s="61" t="str">
        <f>if(or(AY109="x", AZ109="x"), "x", "")</f>
        <v/>
      </c>
      <c r="H109" s="80" t="s">
        <v>2065</v>
      </c>
      <c r="O109" s="61" t="b">
        <f t="shared" si="37"/>
        <v>1</v>
      </c>
      <c r="P109" s="61" t="b">
        <f t="shared" si="57"/>
        <v>1</v>
      </c>
      <c r="Q109" s="80">
        <v>4.0</v>
      </c>
      <c r="R109" s="80">
        <v>6.0</v>
      </c>
      <c r="S109" s="80">
        <v>6.0</v>
      </c>
      <c r="T109" s="61" t="b">
        <f t="shared" si="58"/>
        <v>1</v>
      </c>
      <c r="U109" s="80">
        <v>7.0</v>
      </c>
      <c r="V109" s="80">
        <v>6.0</v>
      </c>
      <c r="W109" s="80">
        <v>7.0</v>
      </c>
      <c r="X109" s="115" t="s">
        <v>2066</v>
      </c>
      <c r="AA109" s="127"/>
      <c r="AQ109" s="80" t="s">
        <v>217</v>
      </c>
      <c r="AR109" s="80" t="s">
        <v>217</v>
      </c>
      <c r="AS109" s="80" t="s">
        <v>217</v>
      </c>
      <c r="AX109" s="80" t="s">
        <v>217</v>
      </c>
      <c r="BF109" s="80" t="s">
        <v>217</v>
      </c>
      <c r="BJ109" s="80" t="s">
        <v>217</v>
      </c>
      <c r="BM109" s="80" t="s">
        <v>644</v>
      </c>
      <c r="BP109" s="61" t="str">
        <f t="shared" si="50"/>
        <v/>
      </c>
      <c r="CA109" s="80" t="s">
        <v>217</v>
      </c>
      <c r="CI109" s="80" t="s">
        <v>217</v>
      </c>
      <c r="CN109" s="61">
        <f>counta(CC109:CM109)</f>
        <v>1</v>
      </c>
      <c r="CS109" s="80" t="s">
        <v>217</v>
      </c>
      <c r="CW109" s="61" t="str">
        <f t="shared" si="25"/>
        <v/>
      </c>
      <c r="CX109" s="61" t="str">
        <f t="shared" si="26"/>
        <v/>
      </c>
      <c r="CY109" s="61" t="str">
        <f t="shared" si="27"/>
        <v/>
      </c>
      <c r="DD109" s="80" t="s">
        <v>217</v>
      </c>
      <c r="DS109" s="61">
        <f t="shared" si="28"/>
        <v>0</v>
      </c>
      <c r="DW109" s="61" t="str">
        <f t="shared" si="56"/>
        <v>0</v>
      </c>
      <c r="DX109" s="61">
        <f t="shared" si="29"/>
        <v>0</v>
      </c>
      <c r="DZ109" s="80" t="s">
        <v>217</v>
      </c>
      <c r="EB109" s="80" t="s">
        <v>217</v>
      </c>
      <c r="EJ109" s="80" t="s">
        <v>217</v>
      </c>
      <c r="ES109" s="80" t="s">
        <v>217</v>
      </c>
    </row>
    <row r="110">
      <c r="A110" s="80" t="s">
        <v>1396</v>
      </c>
      <c r="B110" s="113" t="s">
        <v>2067</v>
      </c>
      <c r="C110" s="80" t="s">
        <v>210</v>
      </c>
      <c r="D110" s="80" t="s">
        <v>209</v>
      </c>
      <c r="E110" s="80" t="s">
        <v>211</v>
      </c>
      <c r="G110" s="80" t="s">
        <v>1398</v>
      </c>
      <c r="H110" s="61" t="str">
        <f>if(AND(C110="Aysu", D110="Vahid"), 1, "")</f>
        <v/>
      </c>
      <c r="I110" s="61" t="str">
        <f>if(AND(C110="Aysu", D110="Ali"), 1, "")</f>
        <v/>
      </c>
      <c r="J110" s="61">
        <f>if(AND(C110="Vahid", D110="Aysu"), 1, "")</f>
        <v>1</v>
      </c>
      <c r="K110" s="61" t="str">
        <f>if(AND(C110="Vahid", D110="Ali"), 1, "")</f>
        <v/>
      </c>
      <c r="L110" s="61" t="str">
        <f>if(AND(C110="Ali", D110="Vahid"), 1, "")</f>
        <v/>
      </c>
      <c r="M110" s="61" t="str">
        <f>if(AND(C110="Ali", D110="Aysu"), 1, "")</f>
        <v/>
      </c>
      <c r="N110" s="61" t="b">
        <f t="shared" ref="N110:N111" si="59">and(O110,S110)</f>
        <v>1</v>
      </c>
      <c r="O110" s="61" t="b">
        <f>SUM(P110:R110)&gt;=2</f>
        <v>1</v>
      </c>
      <c r="P110" s="80">
        <v>1.0</v>
      </c>
      <c r="Q110" s="80">
        <v>1.0</v>
      </c>
      <c r="R110" s="80">
        <v>1.0</v>
      </c>
      <c r="S110" s="61" t="b">
        <f>SUM(T110:V110)&gt;=2</f>
        <v>1</v>
      </c>
      <c r="T110" s="80">
        <v>1.0</v>
      </c>
      <c r="U110" s="80">
        <v>1.0</v>
      </c>
      <c r="V110" s="80">
        <v>1.0</v>
      </c>
      <c r="X110" s="61" t="str">
        <f>iferror(if(find("Pollock", Z110)&gt;0,concat(G110,", "), ""))</f>
        <v/>
      </c>
      <c r="Y110" s="61" t="str">
        <f>if(FM110="x",concat(G110,", "), "")</f>
        <v/>
      </c>
      <c r="Z110" s="114" t="s">
        <v>1399</v>
      </c>
      <c r="AA110" s="80" t="s">
        <v>266</v>
      </c>
      <c r="AC110" s="61">
        <f>countif('Charts-SLR'!A:A,AA110)</f>
        <v>1</v>
      </c>
      <c r="AD110" s="80" t="s">
        <v>677</v>
      </c>
      <c r="AE110" s="61">
        <f t="array" ref="AE110">countif({},AD110)</f>
        <v>0</v>
      </c>
      <c r="AF110" s="80">
        <v>2008.0</v>
      </c>
      <c r="AG110" s="80" t="s">
        <v>250</v>
      </c>
      <c r="AH110" s="80">
        <v>70.0</v>
      </c>
      <c r="AI110" s="108">
        <f>AH110/(2012-AF110)</f>
        <v>17.5</v>
      </c>
      <c r="AJ110" s="61" t="str">
        <f>if(AG110="J",AH110,"")</f>
        <v/>
      </c>
      <c r="AK110" s="61">
        <f>if(AG110="C",AH110,"")</f>
        <v>70</v>
      </c>
      <c r="AL110" s="61" t="str">
        <f>if(AG110="W", AH110,"")</f>
        <v/>
      </c>
      <c r="AM110" s="61" t="str">
        <f>if(AG110="M",AH110,"")</f>
        <v/>
      </c>
      <c r="AN110" s="61" t="str">
        <f>if(AG110="S",AH110,"")</f>
        <v/>
      </c>
      <c r="AO110" s="61" t="str">
        <f>if(BE110="x",concat(G110,", "), "")</f>
        <v/>
      </c>
      <c r="AP110" s="74"/>
      <c r="AQ110" s="74"/>
      <c r="AR110" s="74"/>
      <c r="AS110" s="74"/>
      <c r="AT110" s="74"/>
      <c r="AU110" s="74"/>
      <c r="AV110" s="74"/>
      <c r="AW110" s="74"/>
      <c r="AX110" s="74"/>
      <c r="AY110" s="109" t="str">
        <f t="shared" ref="AY110:AY111" si="60">if(counta(AP110:AX110)=0, "ERR", "")</f>
        <v>ERR</v>
      </c>
      <c r="AZ110" s="73" t="s">
        <v>217</v>
      </c>
      <c r="BA110" s="73" t="s">
        <v>217</v>
      </c>
      <c r="BB110" s="74"/>
      <c r="BC110" s="74"/>
      <c r="BD110" s="74"/>
      <c r="BE110" s="74"/>
      <c r="BF110" s="110">
        <f>COUNTA(AZ110:BE110)</f>
        <v>2</v>
      </c>
      <c r="BG110" s="74"/>
      <c r="BH110" s="74"/>
      <c r="BI110" s="74"/>
      <c r="BJ110" s="74"/>
      <c r="BK110" s="74"/>
      <c r="BL110" s="73" t="s">
        <v>217</v>
      </c>
      <c r="BM110" s="74"/>
      <c r="BN110" s="74"/>
      <c r="BO110" s="74"/>
      <c r="BP110" s="74"/>
      <c r="BQ110" s="74"/>
      <c r="BR110" s="73" t="s">
        <v>217</v>
      </c>
      <c r="BS110" s="74"/>
      <c r="BT110" s="73" t="s">
        <v>217</v>
      </c>
      <c r="BU110" s="73" t="s">
        <v>217</v>
      </c>
      <c r="BV110" s="74"/>
      <c r="BW110" s="74"/>
      <c r="BX110" s="74"/>
      <c r="BY110" s="74"/>
      <c r="BZ110" s="74"/>
      <c r="CA110" s="74"/>
      <c r="CB110" s="73" t="s">
        <v>217</v>
      </c>
      <c r="CC110" s="166"/>
      <c r="CD110" s="110">
        <f>if(CA110="x", 1, if(CB110="x", 2, 3))</f>
        <v>2</v>
      </c>
      <c r="CE110" s="73" t="s">
        <v>217</v>
      </c>
      <c r="CF110" s="74"/>
      <c r="CG110" s="74"/>
      <c r="CH110" s="73" t="s">
        <v>217</v>
      </c>
      <c r="CI110" s="74"/>
      <c r="CJ110" s="74"/>
      <c r="CK110" s="74"/>
      <c r="CU110" s="80" t="s">
        <v>217</v>
      </c>
      <c r="DA110" s="61">
        <f t="shared" ref="DA110:DA111" si="61">counta(CP110:CZ110)</f>
        <v>1</v>
      </c>
      <c r="DB110" s="80" t="s">
        <v>217</v>
      </c>
      <c r="DG110" s="61">
        <f>counta(DB110:DF110)</f>
        <v>1</v>
      </c>
      <c r="DI110" s="80" t="s">
        <v>217</v>
      </c>
      <c r="DJ110" s="61" t="str">
        <f t="shared" ref="DJ110:DJ111" si="62">if(and(DH110="x",DI110="x"), "both", "")</f>
        <v/>
      </c>
      <c r="DK110" s="61" t="str">
        <f t="shared" ref="DK110:DK111" si="63">if(and(DH110="x",DI110=""), "FM", "")</f>
        <v/>
      </c>
      <c r="DL110" s="61" t="str">
        <f t="shared" ref="DL110:DL111" si="64">if(and(DI110="x",DH110=""), "FA", "")</f>
        <v>FA</v>
      </c>
      <c r="DO110" s="80" t="s">
        <v>217</v>
      </c>
      <c r="DR110" s="80" t="s">
        <v>217</v>
      </c>
      <c r="DX110" s="107" t="str">
        <f t="shared" ref="DX110:DX111" si="65">if(or(BL110="x", BM110="x"), "x", "")</f>
        <v>x</v>
      </c>
      <c r="EM110" s="61">
        <f t="shared" ref="EM110:EM111" si="66">sum(EJ110:EL110)</f>
        <v>0</v>
      </c>
      <c r="EQ110" s="61" t="str">
        <f t="shared" ref="EQ110:EQ111" si="67">if(FT110&lt;1000, "0", if(FT110&lt;10000, "0.5","1"))</f>
        <v>1</v>
      </c>
      <c r="ER110" s="61">
        <f>SUM.LEGACY(EN110:EQ110)</f>
        <v>1</v>
      </c>
      <c r="ET110" s="80" t="s">
        <v>217</v>
      </c>
      <c r="EU110" s="61" t="str">
        <f>if(and(ES110="",ET110=""), "both", "")</f>
        <v/>
      </c>
      <c r="EV110" s="80" t="s">
        <v>217</v>
      </c>
      <c r="EX110" s="61" t="str">
        <f>if(and(EW110="x",EV110="x"), "both", "")</f>
        <v/>
      </c>
      <c r="EY110" s="61" t="str">
        <f>if(and(EV110="",EW110=""), "none", "")</f>
        <v/>
      </c>
      <c r="FD110" s="80" t="s">
        <v>217</v>
      </c>
      <c r="FG110" s="80" t="s">
        <v>217</v>
      </c>
      <c r="FP110" s="80" t="s">
        <v>1400</v>
      </c>
      <c r="FR110" s="80">
        <v>3.0</v>
      </c>
      <c r="FS110" s="80" t="s">
        <v>1401</v>
      </c>
      <c r="FT110" s="112">
        <v>32105.0</v>
      </c>
      <c r="FU110" s="80" t="s">
        <v>1402</v>
      </c>
      <c r="FW110" s="80" t="s">
        <v>217</v>
      </c>
    </row>
    <row r="111">
      <c r="A111" s="80" t="s">
        <v>1505</v>
      </c>
      <c r="B111" s="126" t="s">
        <v>2068</v>
      </c>
      <c r="C111" s="80" t="s">
        <v>301</v>
      </c>
      <c r="D111" s="80" t="s">
        <v>209</v>
      </c>
      <c r="E111" s="80" t="s">
        <v>217</v>
      </c>
      <c r="G111" s="80" t="s">
        <v>2069</v>
      </c>
      <c r="N111" s="61" t="b">
        <f t="shared" si="59"/>
        <v>1</v>
      </c>
      <c r="O111" s="61" t="b">
        <f>if(AVERAGE(P111:R111)&gt;=5, TRUE, FALSE)</f>
        <v>1</v>
      </c>
      <c r="P111" s="80">
        <v>7.0</v>
      </c>
      <c r="Q111" s="80">
        <v>7.0</v>
      </c>
      <c r="R111" s="80">
        <v>6.0</v>
      </c>
      <c r="S111" s="61" t="b">
        <f>if(AVERAGE(T111:V111)&gt;=5, TRUE, FALSE)</f>
        <v>1</v>
      </c>
      <c r="T111" s="80">
        <v>6.0</v>
      </c>
      <c r="U111" s="80">
        <v>7.0</v>
      </c>
      <c r="V111" s="80">
        <v>7.0</v>
      </c>
      <c r="W111" s="115" t="s">
        <v>2070</v>
      </c>
      <c r="Z111" s="127"/>
      <c r="AP111" s="73" t="s">
        <v>217</v>
      </c>
      <c r="AQ111" s="74"/>
      <c r="AR111" s="74"/>
      <c r="AS111" s="74"/>
      <c r="AT111" s="74"/>
      <c r="AU111" s="74"/>
      <c r="AV111" s="74"/>
      <c r="AW111" s="74"/>
      <c r="AX111" s="74"/>
      <c r="AY111" s="109" t="str">
        <f t="shared" si="60"/>
        <v/>
      </c>
      <c r="AZ111" s="73" t="s">
        <v>217</v>
      </c>
      <c r="BA111" s="73" t="s">
        <v>217</v>
      </c>
      <c r="BB111" s="74"/>
      <c r="BC111" s="74"/>
      <c r="BD111" s="74"/>
      <c r="BE111" s="74"/>
      <c r="BF111" s="74"/>
      <c r="BG111" s="74"/>
      <c r="BH111" s="74"/>
      <c r="BI111" s="74"/>
      <c r="BJ111" s="74"/>
      <c r="BK111" s="73" t="s">
        <v>217</v>
      </c>
      <c r="BL111" s="74"/>
      <c r="BM111" s="74"/>
      <c r="BN111" s="74"/>
      <c r="BO111" s="74"/>
      <c r="BP111" s="74"/>
      <c r="BQ111" s="74"/>
      <c r="BR111" s="73" t="s">
        <v>217</v>
      </c>
      <c r="BS111" s="74"/>
      <c r="BT111" s="73" t="s">
        <v>217</v>
      </c>
      <c r="BU111" s="74"/>
      <c r="BV111" s="74"/>
      <c r="BW111" s="73" t="s">
        <v>217</v>
      </c>
      <c r="BX111" s="74"/>
      <c r="BY111" s="74"/>
      <c r="BZ111" s="74"/>
      <c r="CA111" s="73" t="s">
        <v>217</v>
      </c>
      <c r="CB111" s="73" t="s">
        <v>217</v>
      </c>
      <c r="CC111" s="110" t="str">
        <f>if(and(CA111="x",CB111="x"), "x", "")</f>
        <v>x</v>
      </c>
      <c r="CD111" s="74"/>
      <c r="CE111" s="74"/>
      <c r="CF111" s="73" t="s">
        <v>217</v>
      </c>
      <c r="CG111" s="74"/>
      <c r="CH111" s="74"/>
      <c r="CI111" s="74"/>
      <c r="CJ111" s="74"/>
      <c r="CK111" s="74"/>
      <c r="CO111" s="80" t="s">
        <v>217</v>
      </c>
      <c r="CS111" s="80" t="s">
        <v>217</v>
      </c>
      <c r="CZ111" s="80" t="s">
        <v>217</v>
      </c>
      <c r="DA111" s="61">
        <f t="shared" si="61"/>
        <v>2</v>
      </c>
      <c r="DF111" s="80" t="s">
        <v>217</v>
      </c>
      <c r="DH111" s="80" t="s">
        <v>217</v>
      </c>
      <c r="DI111" s="80" t="s">
        <v>217</v>
      </c>
      <c r="DJ111" s="61" t="str">
        <f t="shared" si="62"/>
        <v>both</v>
      </c>
      <c r="DK111" s="61" t="str">
        <f t="shared" si="63"/>
        <v/>
      </c>
      <c r="DL111" s="61" t="str">
        <f t="shared" si="64"/>
        <v/>
      </c>
      <c r="DX111" s="144" t="str">
        <f t="shared" si="65"/>
        <v/>
      </c>
      <c r="EM111" s="61">
        <f t="shared" si="66"/>
        <v>0</v>
      </c>
      <c r="EQ111" s="61" t="str">
        <f t="shared" si="67"/>
        <v>0</v>
      </c>
      <c r="ER111" s="61">
        <f>sum(EN111:EQ111)</f>
        <v>0</v>
      </c>
      <c r="ET111" s="80" t="s">
        <v>217</v>
      </c>
      <c r="EW111" s="80" t="s">
        <v>217</v>
      </c>
      <c r="FC111" s="80" t="s">
        <v>217</v>
      </c>
      <c r="FG111" s="80" t="s">
        <v>217</v>
      </c>
      <c r="FM111" s="80" t="s">
        <v>217</v>
      </c>
    </row>
  </sheetData>
  <mergeCells count="1">
    <mergeCell ref="A20:C20"/>
  </mergeCells>
  <conditionalFormatting sqref="D110">
    <cfRule type="containsBlanks" dxfId="0" priority="1">
      <formula>LEN(TRIM(D110))=0</formula>
    </cfRule>
  </conditionalFormatting>
  <conditionalFormatting sqref="F79">
    <cfRule type="containsBlanks" dxfId="0" priority="2">
      <formula>LEN(TRIM(F79))=0</formula>
    </cfRule>
  </conditionalFormatting>
  <conditionalFormatting sqref="G106">
    <cfRule type="containsBlanks" dxfId="0" priority="3">
      <formula>LEN(TRIM(G106))=0</formula>
    </cfRule>
  </conditionalFormatting>
  <conditionalFormatting sqref="AC79:AC81">
    <cfRule type="cellIs" dxfId="1" priority="4" operator="equal">
      <formula>0</formula>
    </cfRule>
  </conditionalFormatting>
  <conditionalFormatting sqref="AC84:AC85">
    <cfRule type="cellIs" dxfId="1" priority="5" operator="equal">
      <formula>0</formula>
    </cfRule>
  </conditionalFormatting>
  <conditionalFormatting sqref="AC87:AC90">
    <cfRule type="cellIs" dxfId="1" priority="6" operator="equal">
      <formula>0</formula>
    </cfRule>
  </conditionalFormatting>
  <conditionalFormatting sqref="AC92:AC105">
    <cfRule type="cellIs" dxfId="1" priority="7" operator="equal">
      <formula>0</formula>
    </cfRule>
  </conditionalFormatting>
  <conditionalFormatting sqref="AC110:AC111">
    <cfRule type="cellIs" dxfId="1" priority="8" operator="equal">
      <formula>0</formula>
    </cfRule>
  </conditionalFormatting>
  <conditionalFormatting sqref="AD106:AD109">
    <cfRule type="cellIs" dxfId="1" priority="9" operator="equal">
      <formula>0</formula>
    </cfRule>
  </conditionalFormatting>
  <conditionalFormatting sqref="C17:C19">
    <cfRule type="cellIs" dxfId="4" priority="10" operator="equal">
      <formula>"FALSE"</formula>
    </cfRule>
  </conditionalFormatting>
  <conditionalFormatting sqref="C21:C69">
    <cfRule type="cellIs" dxfId="4" priority="11" operator="equal">
      <formula>"FALSE"</formula>
    </cfRule>
  </conditionalFormatting>
  <conditionalFormatting sqref="E71">
    <cfRule type="cellIs" dxfId="4" priority="12" operator="equal">
      <formula>"FALSE"</formula>
    </cfRule>
  </conditionalFormatting>
  <conditionalFormatting sqref="E74:E75">
    <cfRule type="cellIs" dxfId="4" priority="13" operator="equal">
      <formula>"FALSE"</formula>
    </cfRule>
  </conditionalFormatting>
  <conditionalFormatting sqref="N79:N81">
    <cfRule type="cellIs" dxfId="4" priority="14" operator="equal">
      <formula>"FALSE"</formula>
    </cfRule>
  </conditionalFormatting>
  <conditionalFormatting sqref="N84:N85">
    <cfRule type="cellIs" dxfId="4" priority="15" operator="equal">
      <formula>"FALSE"</formula>
    </cfRule>
  </conditionalFormatting>
  <conditionalFormatting sqref="N87:N90">
    <cfRule type="cellIs" dxfId="4" priority="16" operator="equal">
      <formula>"FALSE"</formula>
    </cfRule>
  </conditionalFormatting>
  <conditionalFormatting sqref="N92:N105">
    <cfRule type="cellIs" dxfId="4" priority="17" operator="equal">
      <formula>"FALSE"</formula>
    </cfRule>
  </conditionalFormatting>
  <conditionalFormatting sqref="N110:N111">
    <cfRule type="cellIs" dxfId="4" priority="18" operator="equal">
      <formula>"FALSE"</formula>
    </cfRule>
  </conditionalFormatting>
  <conditionalFormatting sqref="O106:O109">
    <cfRule type="cellIs" dxfId="4" priority="19" operator="equal">
      <formula>"FALSE"</formula>
    </cfRule>
  </conditionalFormatting>
  <conditionalFormatting sqref="P92:P105">
    <cfRule type="cellIs" dxfId="4" priority="20" operator="equal">
      <formula>"FALSE"</formula>
    </cfRule>
  </conditionalFormatting>
  <conditionalFormatting sqref="P110:P111">
    <cfRule type="cellIs" dxfId="4" priority="21" operator="equal">
      <formula>"FALSE"</formula>
    </cfRule>
  </conditionalFormatting>
  <conditionalFormatting sqref="P80:V81">
    <cfRule type="cellIs" dxfId="4" priority="22" operator="equal">
      <formula>"FALSE"</formula>
    </cfRule>
  </conditionalFormatting>
  <conditionalFormatting sqref="P84:V85">
    <cfRule type="cellIs" dxfId="4" priority="23" operator="equal">
      <formula>"FALSE"</formula>
    </cfRule>
  </conditionalFormatting>
  <conditionalFormatting sqref="P87:V90">
    <cfRule type="cellIs" dxfId="4" priority="24" operator="equal">
      <formula>"FALSE"</formula>
    </cfRule>
  </conditionalFormatting>
  <conditionalFormatting sqref="Q92:V111">
    <cfRule type="cellIs" dxfId="4" priority="25" operator="equal">
      <formula>"FALSE"</formula>
    </cfRule>
  </conditionalFormatting>
  <conditionalFormatting sqref="W106:W109">
    <cfRule type="cellIs" dxfId="4" priority="26" operator="equal">
      <formula>"FALSE"</formula>
    </cfRule>
  </conditionalFormatting>
  <conditionalFormatting sqref="C71">
    <cfRule type="containsBlanks" dxfId="3" priority="27">
      <formula>LEN(TRIM(C71))=0</formula>
    </cfRule>
  </conditionalFormatting>
  <conditionalFormatting sqref="C79:C81">
    <cfRule type="containsBlanks" dxfId="3" priority="28">
      <formula>LEN(TRIM(C79))=0</formula>
    </cfRule>
  </conditionalFormatting>
  <conditionalFormatting sqref="C84:C85">
    <cfRule type="containsBlanks" dxfId="3" priority="29">
      <formula>LEN(TRIM(C84))=0</formula>
    </cfRule>
  </conditionalFormatting>
  <conditionalFormatting sqref="C87:C90">
    <cfRule type="containsBlanks" dxfId="3" priority="30">
      <formula>LEN(TRIM(C87))=0</formula>
    </cfRule>
  </conditionalFormatting>
  <conditionalFormatting sqref="C92:C111">
    <cfRule type="containsBlanks" dxfId="3" priority="31">
      <formula>LEN(TRIM(C92))=0</formula>
    </cfRule>
  </conditionalFormatting>
  <conditionalFormatting sqref="C74:D75">
    <cfRule type="containsBlanks" dxfId="3" priority="32">
      <formula>LEN(TRIM(C74))=0</formula>
    </cfRule>
  </conditionalFormatting>
  <conditionalFormatting sqref="D106:D109">
    <cfRule type="containsBlanks" dxfId="3" priority="33">
      <formula>LEN(TRIM(D106))=0</formula>
    </cfRule>
  </conditionalFormatting>
  <conditionalFormatting sqref="D111">
    <cfRule type="containsBlanks" dxfId="3" priority="34">
      <formula>LEN(TRIM(D111))=0</formula>
    </cfRule>
  </conditionalFormatting>
  <conditionalFormatting sqref="E79:E81">
    <cfRule type="containsBlanks" dxfId="3" priority="35">
      <formula>LEN(TRIM(E79))=0</formula>
    </cfRule>
  </conditionalFormatting>
  <conditionalFormatting sqref="E84">
    <cfRule type="containsBlanks" dxfId="3" priority="36">
      <formula>LEN(TRIM(E84))=0</formula>
    </cfRule>
  </conditionalFormatting>
  <conditionalFormatting sqref="E101:E103">
    <cfRule type="containsBlanks" dxfId="3" priority="37">
      <formula>LEN(TRIM(E101))=0</formula>
    </cfRule>
  </conditionalFormatting>
  <conditionalFormatting sqref="E105">
    <cfRule type="containsBlanks" dxfId="3" priority="38">
      <formula>LEN(TRIM(E105))=0</formula>
    </cfRule>
  </conditionalFormatting>
  <conditionalFormatting sqref="F110:F111">
    <cfRule type="containsBlanks" dxfId="3" priority="39">
      <formula>LEN(TRIM(F110))=0</formula>
    </cfRule>
  </conditionalFormatting>
  <conditionalFormatting sqref="E17:G19">
    <cfRule type="containsBlanks" dxfId="3" priority="40">
      <formula>LEN(TRIM(E17))=0</formula>
    </cfRule>
  </conditionalFormatting>
  <conditionalFormatting sqref="E21:G69">
    <cfRule type="containsBlanks" dxfId="3" priority="41">
      <formula>LEN(TRIM(E21))=0</formula>
    </cfRule>
  </conditionalFormatting>
  <conditionalFormatting sqref="G107:G109">
    <cfRule type="containsBlanks" dxfId="3" priority="42">
      <formula>LEN(TRIM(G107))=0</formula>
    </cfRule>
  </conditionalFormatting>
  <conditionalFormatting sqref="G71:I71">
    <cfRule type="containsBlanks" dxfId="3" priority="43">
      <formula>LEN(TRIM(G71))=0</formula>
    </cfRule>
  </conditionalFormatting>
  <conditionalFormatting sqref="G74:I75">
    <cfRule type="containsBlanks" dxfId="3" priority="44">
      <formula>LEN(TRIM(G74))=0</formula>
    </cfRule>
  </conditionalFormatting>
  <conditionalFormatting sqref="I17:K19">
    <cfRule type="containsBlanks" dxfId="3" priority="45">
      <formula>LEN(TRIM(I17))=0</formula>
    </cfRule>
  </conditionalFormatting>
  <conditionalFormatting sqref="I21:K69">
    <cfRule type="containsBlanks" dxfId="3" priority="46">
      <formula>LEN(TRIM(I21))=0</formula>
    </cfRule>
  </conditionalFormatting>
  <conditionalFormatting sqref="K71:M71">
    <cfRule type="containsBlanks" dxfId="3" priority="47">
      <formula>LEN(TRIM(K71))=0</formula>
    </cfRule>
  </conditionalFormatting>
  <conditionalFormatting sqref="K74:M75">
    <cfRule type="containsBlanks" dxfId="3" priority="48">
      <formula>LEN(TRIM(K74))=0</formula>
    </cfRule>
  </conditionalFormatting>
  <conditionalFormatting sqref="P79:R79">
    <cfRule type="containsBlanks" dxfId="3" priority="49">
      <formula>LEN(TRIM(P79))=0</formula>
    </cfRule>
  </conditionalFormatting>
  <conditionalFormatting sqref="T79:V79">
    <cfRule type="containsBlanks" dxfId="3" priority="50">
      <formula>LEN(TRIM(T79))=0</formula>
    </cfRule>
  </conditionalFormatting>
  <conditionalFormatting sqref="C17:C19">
    <cfRule type="cellIs" dxfId="5" priority="51" operator="equal">
      <formula>"TRUE"</formula>
    </cfRule>
  </conditionalFormatting>
  <conditionalFormatting sqref="C21:C69">
    <cfRule type="cellIs" dxfId="5" priority="52" operator="equal">
      <formula>"TRUE"</formula>
    </cfRule>
  </conditionalFormatting>
  <conditionalFormatting sqref="E71">
    <cfRule type="cellIs" dxfId="5" priority="53" operator="equal">
      <formula>"TRUE"</formula>
    </cfRule>
  </conditionalFormatting>
  <conditionalFormatting sqref="E74:E75">
    <cfRule type="cellIs" dxfId="5" priority="54" operator="equal">
      <formula>"TRUE"</formula>
    </cfRule>
  </conditionalFormatting>
  <conditionalFormatting sqref="N79:N81">
    <cfRule type="cellIs" dxfId="5" priority="55" operator="equal">
      <formula>"TRUE"</formula>
    </cfRule>
  </conditionalFormatting>
  <conditionalFormatting sqref="N84:N85">
    <cfRule type="cellIs" dxfId="5" priority="56" operator="equal">
      <formula>"TRUE"</formula>
    </cfRule>
  </conditionalFormatting>
  <conditionalFormatting sqref="N87:N90">
    <cfRule type="cellIs" dxfId="5" priority="57" operator="equal">
      <formula>"TRUE"</formula>
    </cfRule>
  </conditionalFormatting>
  <conditionalFormatting sqref="N92:N105">
    <cfRule type="cellIs" dxfId="5" priority="58" operator="equal">
      <formula>"TRUE"</formula>
    </cfRule>
  </conditionalFormatting>
  <conditionalFormatting sqref="N110:N111">
    <cfRule type="cellIs" dxfId="5" priority="59" operator="equal">
      <formula>"TRUE"</formula>
    </cfRule>
  </conditionalFormatting>
  <conditionalFormatting sqref="O106:O109">
    <cfRule type="cellIs" dxfId="5" priority="60" operator="equal">
      <formula>"TRUE"</formula>
    </cfRule>
  </conditionalFormatting>
  <conditionalFormatting sqref="P92:P105">
    <cfRule type="cellIs" dxfId="5" priority="61" operator="equal">
      <formula>"TRUE"</formula>
    </cfRule>
  </conditionalFormatting>
  <conditionalFormatting sqref="P110:P111">
    <cfRule type="cellIs" dxfId="5" priority="62" operator="equal">
      <formula>"TRUE"</formula>
    </cfRule>
  </conditionalFormatting>
  <conditionalFormatting sqref="P80:V81">
    <cfRule type="cellIs" dxfId="5" priority="63" operator="equal">
      <formula>"TRUE"</formula>
    </cfRule>
  </conditionalFormatting>
  <conditionalFormatting sqref="P84:V85">
    <cfRule type="cellIs" dxfId="5" priority="64" operator="equal">
      <formula>"TRUE"</formula>
    </cfRule>
  </conditionalFormatting>
  <conditionalFormatting sqref="P87:V90">
    <cfRule type="cellIs" dxfId="5" priority="65" operator="equal">
      <formula>"TRUE"</formula>
    </cfRule>
  </conditionalFormatting>
  <conditionalFormatting sqref="Q92:V111">
    <cfRule type="cellIs" dxfId="5" priority="66" operator="equal">
      <formula>"TRUE"</formula>
    </cfRule>
  </conditionalFormatting>
  <conditionalFormatting sqref="W106:W109">
    <cfRule type="cellIs" dxfId="5" priority="67" operator="equal">
      <formula>"TRUE"</formula>
    </cfRule>
  </conditionalFormatting>
  <conditionalFormatting sqref="P92:P105">
    <cfRule type="containsBlanks" dxfId="6" priority="68">
      <formula>LEN(TRIM(P92))=0</formula>
    </cfRule>
  </conditionalFormatting>
  <conditionalFormatting sqref="P110:P111">
    <cfRule type="containsBlanks" dxfId="6" priority="69">
      <formula>LEN(TRIM(P110))=0</formula>
    </cfRule>
  </conditionalFormatting>
  <conditionalFormatting sqref="P80:V81">
    <cfRule type="containsBlanks" dxfId="6" priority="70">
      <formula>LEN(TRIM(P80))=0</formula>
    </cfRule>
  </conditionalFormatting>
  <conditionalFormatting sqref="P84:V85">
    <cfRule type="containsBlanks" dxfId="6" priority="71">
      <formula>LEN(TRIM(P84))=0</formula>
    </cfRule>
  </conditionalFormatting>
  <conditionalFormatting sqref="P87:V90">
    <cfRule type="containsBlanks" dxfId="6" priority="72">
      <formula>LEN(TRIM(P87))=0</formula>
    </cfRule>
  </conditionalFormatting>
  <conditionalFormatting sqref="Q92:V111">
    <cfRule type="containsBlanks" dxfId="6" priority="73">
      <formula>LEN(TRIM(Q92))=0</formula>
    </cfRule>
  </conditionalFormatting>
  <conditionalFormatting sqref="W106:W109">
    <cfRule type="containsBlanks" dxfId="6" priority="74">
      <formula>LEN(TRIM(W106))=0</formula>
    </cfRule>
  </conditionalFormatting>
  <hyperlinks>
    <hyperlink r:id="rId2" ref="B17"/>
    <hyperlink r:id="rId3" ref="B18"/>
    <hyperlink r:id="rId4" ref="B19"/>
    <hyperlink r:id="rId5" ref="B21"/>
    <hyperlink r:id="rId6" ref="B22"/>
    <hyperlink r:id="rId7" ref="B23"/>
    <hyperlink r:id="rId8" ref="B24"/>
    <hyperlink r:id="rId9" ref="B25"/>
    <hyperlink r:id="rId10" ref="B26"/>
    <hyperlink r:id="rId11" ref="B27"/>
    <hyperlink r:id="rId12" ref="B28"/>
    <hyperlink r:id="rId13" ref="B29"/>
    <hyperlink r:id="rId14" ref="B30"/>
    <hyperlink r:id="rId15" ref="B31"/>
    <hyperlink r:id="rId16" ref="B32"/>
    <hyperlink r:id="rId17" ref="B33"/>
    <hyperlink r:id="rId18" ref="B34"/>
    <hyperlink r:id="rId19" ref="B35"/>
    <hyperlink r:id="rId20" ref="B36"/>
    <hyperlink r:id="rId21" ref="B37"/>
    <hyperlink r:id="rId22" ref="B38"/>
    <hyperlink r:id="rId23" ref="B39"/>
    <hyperlink r:id="rId24" ref="B40"/>
    <hyperlink r:id="rId25" ref="B41"/>
    <hyperlink r:id="rId26" ref="B42"/>
    <hyperlink r:id="rId27" ref="B43"/>
    <hyperlink r:id="rId28" ref="B44"/>
    <hyperlink r:id="rId29" ref="B45"/>
    <hyperlink r:id="rId30" ref="B46"/>
    <hyperlink r:id="rId31" ref="B47"/>
    <hyperlink r:id="rId32" ref="B48"/>
    <hyperlink r:id="rId33" ref="B49"/>
    <hyperlink r:id="rId34" ref="B50"/>
    <hyperlink r:id="rId35" ref="B51"/>
    <hyperlink r:id="rId36" ref="B52"/>
    <hyperlink r:id="rId37" ref="B53"/>
    <hyperlink r:id="rId38" ref="B54"/>
    <hyperlink r:id="rId39" ref="B55"/>
    <hyperlink r:id="rId40" ref="B56"/>
    <hyperlink r:id="rId41" ref="B57"/>
    <hyperlink r:id="rId42" ref="B58"/>
    <hyperlink r:id="rId43" ref="B59"/>
    <hyperlink r:id="rId44" ref="B60"/>
    <hyperlink r:id="rId45" ref="B61"/>
    <hyperlink r:id="rId46" ref="B62"/>
    <hyperlink r:id="rId47" ref="B63"/>
    <hyperlink r:id="rId48" ref="B64"/>
    <hyperlink r:id="rId49" ref="B65"/>
    <hyperlink r:id="rId50" ref="B66"/>
    <hyperlink r:id="rId51" ref="B67"/>
    <hyperlink r:id="rId52" ref="B69"/>
    <hyperlink r:id="rId53" ref="B71"/>
    <hyperlink r:id="rId54" ref="B74"/>
    <hyperlink r:id="rId55" ref="B75"/>
    <hyperlink r:id="rId56" ref="B79"/>
    <hyperlink r:id="rId57" ref="B80"/>
    <hyperlink r:id="rId58" ref="B81"/>
    <hyperlink r:id="rId59" ref="B82"/>
    <hyperlink r:id="rId60" ref="B83"/>
    <hyperlink r:id="rId61" ref="B84"/>
    <hyperlink r:id="rId62" ref="B85"/>
    <hyperlink r:id="rId63" ref="B87"/>
    <hyperlink r:id="rId64" ref="B88"/>
    <hyperlink r:id="rId65" ref="B89"/>
    <hyperlink r:id="rId66" ref="B90"/>
    <hyperlink r:id="rId67" ref="B92"/>
    <hyperlink r:id="rId68" ref="B93"/>
    <hyperlink r:id="rId69" ref="B94"/>
    <hyperlink r:id="rId70" ref="B95"/>
    <hyperlink r:id="rId71" ref="B96"/>
    <hyperlink r:id="rId72" ref="B97"/>
    <hyperlink r:id="rId73" ref="B98"/>
    <hyperlink r:id="rId74" ref="B99"/>
    <hyperlink r:id="rId75" ref="B100"/>
    <hyperlink r:id="rId76" ref="B101"/>
    <hyperlink r:id="rId77" ref="B102"/>
    <hyperlink r:id="rId78" ref="B103"/>
    <hyperlink r:id="rId79" ref="B104"/>
    <hyperlink r:id="rId80" ref="B105"/>
    <hyperlink r:id="rId81" ref="B106"/>
    <hyperlink r:id="rId82" ref="B107"/>
    <hyperlink r:id="rId83" ref="B108"/>
    <hyperlink r:id="rId84" ref="B109"/>
    <hyperlink r:id="rId85" ref="B110"/>
    <hyperlink r:id="rId86" ref="B111"/>
  </hyperlinks>
  <drawing r:id="rId87"/>
  <legacyDrawing r:id="rId88"/>
</worksheet>
</file>