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\stk\"/>
    </mc:Choice>
  </mc:AlternateContent>
  <xr:revisionPtr revIDLastSave="0" documentId="13_ncr:1_{3AD70518-7193-427D-87D7-E8B417CE6240}" xr6:coauthVersionLast="47" xr6:coauthVersionMax="47" xr10:uidLastSave="{00000000-0000-0000-0000-000000000000}"/>
  <bookViews>
    <workbookView xWindow="1170" yWindow="1065" windowWidth="24915" windowHeight="15135" activeTab="1" xr2:uid="{BEB3547C-3621-4E8A-A460-3BEF7BC1EF16}"/>
  </bookViews>
  <sheets>
    <sheet name="Options" sheetId="9" r:id="rId1"/>
    <sheet name="YieldMax" sheetId="7" r:id="rId2"/>
    <sheet name="Sheet1" sheetId="11" r:id="rId3"/>
    <sheet name="Compare" sheetId="5" r:id="rId4"/>
    <sheet name="OptionCalComparer" sheetId="6" r:id="rId5"/>
    <sheet name="72000" sheetId="8" r:id="rId6"/>
    <sheet name="MST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K2" i="9"/>
  <c r="N10" i="8"/>
  <c r="N9" i="8"/>
  <c r="L10" i="8"/>
  <c r="L9" i="8"/>
  <c r="C10" i="8"/>
  <c r="A9" i="8"/>
  <c r="M39" i="6"/>
  <c r="G35" i="6"/>
  <c r="F35" i="6"/>
  <c r="E35" i="6"/>
  <c r="D35" i="6"/>
  <c r="C35" i="6"/>
  <c r="B35" i="6"/>
  <c r="G27" i="6"/>
  <c r="G30" i="6" s="1"/>
  <c r="F27" i="6"/>
  <c r="F31" i="6" s="1"/>
  <c r="E27" i="6"/>
  <c r="E31" i="6" s="1"/>
  <c r="D27" i="6"/>
  <c r="D29" i="6" s="1"/>
  <c r="C27" i="6"/>
  <c r="C31" i="6" s="1"/>
  <c r="B27" i="6"/>
  <c r="B31" i="6" s="1"/>
  <c r="G26" i="6"/>
  <c r="F26" i="6"/>
  <c r="E26" i="6"/>
  <c r="D26" i="6"/>
  <c r="C26" i="6"/>
  <c r="B26" i="6"/>
  <c r="G28" i="6"/>
  <c r="F28" i="6"/>
  <c r="E28" i="6"/>
  <c r="D28" i="6"/>
  <c r="C28" i="6"/>
  <c r="B28" i="6"/>
  <c r="G11" i="6"/>
  <c r="F11" i="6"/>
  <c r="E11" i="6"/>
  <c r="D11" i="6"/>
  <c r="C11" i="6"/>
  <c r="B11" i="6"/>
  <c r="G10" i="6"/>
  <c r="G14" i="6" s="1"/>
  <c r="G9" i="6"/>
  <c r="F10" i="6"/>
  <c r="F14" i="6" s="1"/>
  <c r="F9" i="6"/>
  <c r="E10" i="6"/>
  <c r="E14" i="6" s="1"/>
  <c r="E9" i="6"/>
  <c r="D10" i="6"/>
  <c r="D14" i="6" s="1"/>
  <c r="C10" i="6"/>
  <c r="C14" i="6" s="1"/>
  <c r="B10" i="6"/>
  <c r="B12" i="6" s="1"/>
  <c r="D9" i="6"/>
  <c r="C9" i="6"/>
  <c r="B9" i="6"/>
  <c r="G39" i="5"/>
  <c r="D39" i="5"/>
  <c r="D30" i="5"/>
  <c r="I28" i="5"/>
  <c r="G34" i="5"/>
  <c r="D34" i="5"/>
  <c r="F28" i="5"/>
  <c r="F27" i="5"/>
  <c r="D28" i="5"/>
  <c r="D27" i="5"/>
  <c r="G33" i="5"/>
  <c r="D33" i="5"/>
  <c r="F26" i="5"/>
  <c r="D26" i="5"/>
  <c r="F25" i="5"/>
  <c r="D25" i="5"/>
  <c r="F24" i="5"/>
  <c r="D24" i="5"/>
  <c r="G18" i="5"/>
  <c r="D18" i="5"/>
  <c r="F13" i="5"/>
  <c r="D13" i="5"/>
  <c r="F12" i="5"/>
  <c r="D12" i="5"/>
  <c r="F11" i="5"/>
  <c r="D11" i="5"/>
  <c r="F4" i="5"/>
  <c r="F5" i="5"/>
  <c r="F3" i="5"/>
  <c r="D4" i="5"/>
  <c r="D5" i="5"/>
  <c r="D3" i="5"/>
  <c r="B30" i="6" l="1"/>
  <c r="C30" i="6"/>
  <c r="F30" i="6"/>
  <c r="G31" i="6"/>
  <c r="D30" i="6"/>
  <c r="E30" i="6"/>
  <c r="D31" i="6"/>
  <c r="D32" i="6" s="1"/>
  <c r="C29" i="6"/>
  <c r="B29" i="6"/>
  <c r="E29" i="6"/>
  <c r="F29" i="6"/>
  <c r="G29" i="6"/>
  <c r="G12" i="6"/>
  <c r="D12" i="6"/>
  <c r="D15" i="6" s="1"/>
  <c r="C12" i="6"/>
  <c r="C15" i="6" s="1"/>
  <c r="B13" i="6"/>
  <c r="B14" i="6"/>
  <c r="B15" i="6" s="1"/>
  <c r="F12" i="6"/>
  <c r="E12" i="6"/>
  <c r="D15" i="5"/>
  <c r="F30" i="5"/>
  <c r="D7" i="5"/>
  <c r="F7" i="5"/>
  <c r="F15" i="5"/>
  <c r="D13" i="6" l="1"/>
  <c r="F32" i="6"/>
  <c r="B32" i="6"/>
  <c r="E32" i="6"/>
  <c r="C32" i="6"/>
  <c r="G32" i="6"/>
  <c r="C13" i="6"/>
  <c r="G15" i="6"/>
  <c r="G13" i="6"/>
  <c r="F15" i="6"/>
  <c r="F13" i="6"/>
  <c r="E15" i="6"/>
  <c r="E13" i="6"/>
</calcChain>
</file>

<file path=xl/sharedStrings.xml><?xml version="1.0" encoding="utf-8"?>
<sst xmlns="http://schemas.openxmlformats.org/spreadsheetml/2006/main" count="199" uniqueCount="121">
  <si>
    <t>Grp</t>
  </si>
  <si>
    <t>MSTR</t>
  </si>
  <si>
    <t>COIN</t>
  </si>
  <si>
    <t>NVDA</t>
  </si>
  <si>
    <t>XOM</t>
  </si>
  <si>
    <t>CAT</t>
  </si>
  <si>
    <t>BA</t>
  </si>
  <si>
    <t>BITO</t>
  </si>
  <si>
    <t>SOXL</t>
  </si>
  <si>
    <t>TSLA</t>
  </si>
  <si>
    <t>PLTR</t>
  </si>
  <si>
    <t>AAPL</t>
  </si>
  <si>
    <t>OXY</t>
  </si>
  <si>
    <t>MU</t>
  </si>
  <si>
    <t>TXN</t>
  </si>
  <si>
    <t>LULU</t>
  </si>
  <si>
    <t>INFY</t>
  </si>
  <si>
    <t>DELL</t>
  </si>
  <si>
    <t>MARA</t>
  </si>
  <si>
    <t>2024 Options - Tickers</t>
  </si>
  <si>
    <t>Ticker</t>
  </si>
  <si>
    <t>PUT</t>
  </si>
  <si>
    <t>CONY</t>
  </si>
  <si>
    <t>MSTY</t>
  </si>
  <si>
    <t>NVDY</t>
  </si>
  <si>
    <t>Count</t>
  </si>
  <si>
    <t>Price</t>
  </si>
  <si>
    <t>Total Cost</t>
  </si>
  <si>
    <t>Premium</t>
  </si>
  <si>
    <t>Div</t>
  </si>
  <si>
    <t>Div Total</t>
  </si>
  <si>
    <t>price</t>
  </si>
  <si>
    <t>Cost Price</t>
  </si>
  <si>
    <t>contract</t>
  </si>
  <si>
    <t>4 week</t>
  </si>
  <si>
    <t>Stratey</t>
  </si>
  <si>
    <t>ULTY</t>
  </si>
  <si>
    <t>CRSH</t>
  </si>
  <si>
    <t>YQQQ</t>
  </si>
  <si>
    <t>loss 20k</t>
  </si>
  <si>
    <t>soxl</t>
  </si>
  <si>
    <t xml:space="preserve">Loss </t>
  </si>
  <si>
    <t>170K investment gives   11,500</t>
  </si>
  <si>
    <t>Loss</t>
  </si>
  <si>
    <t>143K gives  9800</t>
  </si>
  <si>
    <t>144K gives 9600 with 0 NAV Erosion</t>
  </si>
  <si>
    <t>170k Investment  give 12500.00</t>
  </si>
  <si>
    <t>Account Size</t>
  </si>
  <si>
    <t>Stock</t>
  </si>
  <si>
    <t>Option Strike Price</t>
  </si>
  <si>
    <t>Option Premium</t>
  </si>
  <si>
    <t>Expiration</t>
  </si>
  <si>
    <t>Drop in %</t>
  </si>
  <si>
    <t># Options to Buy</t>
  </si>
  <si>
    <t>Premium collected</t>
  </si>
  <si>
    <t>DTE (weekdays)</t>
  </si>
  <si>
    <t>Premium per day</t>
  </si>
  <si>
    <t>$ Needed to Buy Stock</t>
  </si>
  <si>
    <t>Premium annualized</t>
  </si>
  <si>
    <t>Current Stock Price</t>
  </si>
  <si>
    <t>GM</t>
  </si>
  <si>
    <t>TICK</t>
  </si>
  <si>
    <t>CALL</t>
  </si>
  <si>
    <t>UP in %</t>
  </si>
  <si>
    <t>Upside Call Selling$</t>
  </si>
  <si>
    <t xml:space="preserve">Total </t>
  </si>
  <si>
    <t>Buy LULU @260</t>
  </si>
  <si>
    <t>buy TSLA @240</t>
  </si>
  <si>
    <t>A</t>
  </si>
  <si>
    <t>B</t>
  </si>
  <si>
    <t>C</t>
  </si>
  <si>
    <t>D</t>
  </si>
  <si>
    <t>Primary</t>
  </si>
  <si>
    <t>3 / month</t>
  </si>
  <si>
    <t xml:space="preserve">MSTY </t>
  </si>
  <si>
    <t>Stk Price</t>
  </si>
  <si>
    <t>Money</t>
  </si>
  <si>
    <t>Shares</t>
  </si>
  <si>
    <t>Divident</t>
  </si>
  <si>
    <t>Dividend Paid</t>
  </si>
  <si>
    <t>Type</t>
  </si>
  <si>
    <t>Buy Call</t>
  </si>
  <si>
    <t>GAP</t>
  </si>
  <si>
    <t>Cost</t>
  </si>
  <si>
    <t xml:space="preserve">breakeven </t>
  </si>
  <si>
    <t>Exp Dt</t>
  </si>
  <si>
    <t>Strike</t>
  </si>
  <si>
    <t>Selling Price</t>
  </si>
  <si>
    <t>BUY PUT   33$ Strike  Premium 13.50     Exp April 17.</t>
  </si>
  <si>
    <t>SELL PUT 37$ Strike   6.20     Expiry December 20th.            Assigned Price  = 30$</t>
  </si>
  <si>
    <t>SELL PUT 37$ Strike   6.o0     Expiry January 17th.            Assigned Price  = 28$</t>
  </si>
  <si>
    <t>SELL PUT 37$ Strike   6.40     Expiry January 17th.            Assigned Price  = 30</t>
  </si>
  <si>
    <t>P/L</t>
  </si>
  <si>
    <t>Purch Dt</t>
  </si>
  <si>
    <t>Contract</t>
  </si>
  <si>
    <t>Status</t>
  </si>
  <si>
    <t>Closed</t>
  </si>
  <si>
    <t>HOOD</t>
  </si>
  <si>
    <t>Margin</t>
  </si>
  <si>
    <t>Fees</t>
  </si>
  <si>
    <t>LOST</t>
  </si>
  <si>
    <t>Weekly</t>
  </si>
  <si>
    <t>Inverse</t>
  </si>
  <si>
    <t>FIAT</t>
  </si>
  <si>
    <t>DIPS</t>
  </si>
  <si>
    <t>Ex Date</t>
  </si>
  <si>
    <t>50$ ETF</t>
  </si>
  <si>
    <t>FEAT,FIVY</t>
  </si>
  <si>
    <t xml:space="preserve"> YBIT, GOOY, OARK, XOMO, SNOY,TSMY</t>
  </si>
  <si>
    <r>
      <rPr>
        <b/>
        <sz val="11"/>
        <color rgb="FF00B050"/>
        <rFont val="Calibri"/>
        <family val="2"/>
        <scheme val="minor"/>
      </rPr>
      <t>NVDY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PLTY</t>
    </r>
  </si>
  <si>
    <t>FBY, GDXY, BABO, JPMO, MRNY, MARO</t>
  </si>
  <si>
    <t>PYPY, MSFO,AMDY,NFLY,ABNY</t>
  </si>
  <si>
    <t>PLTY</t>
  </si>
  <si>
    <t xml:space="preserve">SQY, APLY, DISO, </t>
  </si>
  <si>
    <r>
      <rPr>
        <b/>
        <sz val="11"/>
        <color rgb="FF00B050"/>
        <rFont val="Calibri"/>
        <family val="2"/>
        <scheme val="minor"/>
      </rPr>
      <t>CONY</t>
    </r>
    <r>
      <rPr>
        <b/>
        <sz val="11"/>
        <color theme="4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scheme val="minor"/>
      </rPr>
      <t>ULTY</t>
    </r>
    <r>
      <rPr>
        <b/>
        <sz val="11"/>
        <color theme="4"/>
        <rFont val="Calibri"/>
        <family val="2"/>
        <scheme val="minor"/>
      </rPr>
      <t xml:space="preserve">, </t>
    </r>
  </si>
  <si>
    <r>
      <rPr>
        <b/>
        <sz val="11"/>
        <color rgb="FF00B050"/>
        <rFont val="Calibri"/>
        <family val="2"/>
        <scheme val="minor"/>
      </rPr>
      <t>MSTY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scheme val="minor"/>
      </rPr>
      <t>AIYY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AMZY</t>
    </r>
    <r>
      <rPr>
        <sz val="11"/>
        <color theme="1"/>
        <rFont val="Calibri"/>
        <family val="2"/>
        <scheme val="minor"/>
      </rPr>
      <t xml:space="preserve">,  </t>
    </r>
    <r>
      <rPr>
        <b/>
        <sz val="11"/>
        <color theme="4"/>
        <rFont val="Calibri"/>
        <family val="2"/>
        <scheme val="minor"/>
      </rPr>
      <t>SMCY</t>
    </r>
  </si>
  <si>
    <t>TSLY</t>
  </si>
  <si>
    <t>Last Day</t>
  </si>
  <si>
    <t>YMAG, YMAX, XDTE, RDTE</t>
  </si>
  <si>
    <t>Secondary  (Not that Good)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</si>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</sst>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4" fontId="0" fillId="0" borderId="1" xfId="0" applyNumberFormat="1" applyBorder="1"/>
    <xf numFmtId="0" fontId="0" fillId="4" borderId="1" xfId="0" applyFill="1" applyBorder="1"/>
    <xf numFmtId="164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4" fontId="0" fillId="0" borderId="0" xfId="0" applyNumberFormat="1"/>
    <xf numFmtId="14" fontId="0" fillId="5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5" fillId="0" borderId="0" xfId="0" applyFont="1"/>
    <xf numFmtId="0" fontId="0" fillId="8" borderId="0" xfId="0" applyFill="1"/>
    <xf numFmtId="14" fontId="0" fillId="8" borderId="0" xfId="0" applyNumberFormat="1" applyFill="1"/>
    <xf numFmtId="0" fontId="4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E2A4-3103-4619-9C4A-F37E21E99D98}">
  <dimension ref="A1:M21"/>
  <sheetViews>
    <sheetView workbookViewId="0">
      <selection activeCell="A5" sqref="A5"/>
    </sheetView>
  </sheetViews>
  <sheetFormatPr defaultRowHeight="15" x14ac:dyDescent="0.25"/>
  <cols>
    <col min="1" max="1" width="8.42578125" bestFit="1" customWidth="1"/>
    <col min="3" max="3" width="6.28515625" bestFit="1" customWidth="1"/>
    <col min="4" max="4" width="7.42578125" style="16" customWidth="1"/>
    <col min="5" max="5" width="5" bestFit="1" customWidth="1"/>
    <col min="6" max="6" width="11.28515625" bestFit="1" customWidth="1"/>
    <col min="7" max="7" width="8.42578125" style="17" bestFit="1" customWidth="1"/>
    <col min="8" max="8" width="10.85546875" bestFit="1" customWidth="1"/>
    <col min="9" max="9" width="9.7109375" style="16" bestFit="1" customWidth="1"/>
    <col min="10" max="10" width="11.85546875" style="16" bestFit="1" customWidth="1"/>
    <col min="11" max="11" width="6.28515625" bestFit="1" customWidth="1"/>
    <col min="12" max="12" width="6.28515625" customWidth="1"/>
  </cols>
  <sheetData>
    <row r="1" spans="1:13" x14ac:dyDescent="0.25">
      <c r="A1" t="s">
        <v>93</v>
      </c>
      <c r="B1" t="s">
        <v>80</v>
      </c>
      <c r="C1" t="s">
        <v>20</v>
      </c>
      <c r="D1" s="16" t="s">
        <v>86</v>
      </c>
      <c r="E1" t="s">
        <v>83</v>
      </c>
      <c r="F1" t="s">
        <v>85</v>
      </c>
      <c r="G1" s="17" t="s">
        <v>94</v>
      </c>
      <c r="H1" t="s">
        <v>84</v>
      </c>
      <c r="I1" s="16" t="s">
        <v>27</v>
      </c>
      <c r="J1" s="16" t="s">
        <v>87</v>
      </c>
      <c r="K1" t="s">
        <v>92</v>
      </c>
      <c r="L1" t="s">
        <v>99</v>
      </c>
      <c r="M1" t="s">
        <v>95</v>
      </c>
    </row>
    <row r="2" spans="1:13" x14ac:dyDescent="0.25">
      <c r="A2" s="3">
        <v>45618</v>
      </c>
      <c r="B2" t="s">
        <v>81</v>
      </c>
      <c r="C2" t="s">
        <v>82</v>
      </c>
      <c r="D2" s="16">
        <v>23.5</v>
      </c>
      <c r="E2">
        <v>1.1299999999999999</v>
      </c>
      <c r="F2" s="3">
        <v>45618</v>
      </c>
      <c r="G2" s="17">
        <v>1</v>
      </c>
      <c r="H2">
        <v>24.63</v>
      </c>
      <c r="I2" s="16">
        <v>113</v>
      </c>
      <c r="J2" s="16">
        <v>79</v>
      </c>
      <c r="K2" s="16">
        <f>(J2-I2)</f>
        <v>-34</v>
      </c>
      <c r="L2" s="16"/>
      <c r="M2" t="s">
        <v>96</v>
      </c>
    </row>
    <row r="3" spans="1:13" x14ac:dyDescent="0.25">
      <c r="A3" s="3">
        <v>45618</v>
      </c>
      <c r="B3" t="s">
        <v>81</v>
      </c>
      <c r="C3" t="s">
        <v>82</v>
      </c>
      <c r="D3" s="16">
        <v>23.5</v>
      </c>
      <c r="E3">
        <v>1.29</v>
      </c>
      <c r="F3" s="3">
        <v>45625</v>
      </c>
      <c r="G3" s="17">
        <v>1</v>
      </c>
      <c r="H3">
        <v>24.79</v>
      </c>
      <c r="I3" s="16">
        <v>129</v>
      </c>
      <c r="J3" s="16">
        <v>180</v>
      </c>
      <c r="K3" s="16">
        <f>(J3-I3)</f>
        <v>51</v>
      </c>
      <c r="L3" s="16"/>
      <c r="M3" t="s">
        <v>96</v>
      </c>
    </row>
    <row r="4" spans="1:13" x14ac:dyDescent="0.25">
      <c r="A4" s="3">
        <v>45621</v>
      </c>
      <c r="B4" t="s">
        <v>81</v>
      </c>
      <c r="C4" t="s">
        <v>97</v>
      </c>
      <c r="D4" s="16">
        <v>38.5</v>
      </c>
      <c r="E4">
        <v>1.1499999999999999</v>
      </c>
      <c r="F4" s="3">
        <v>45625</v>
      </c>
      <c r="G4" s="17">
        <v>5</v>
      </c>
      <c r="H4">
        <v>1.1499999999999999</v>
      </c>
      <c r="I4" s="16">
        <v>575</v>
      </c>
      <c r="L4">
        <v>0.65</v>
      </c>
      <c r="M4" t="s">
        <v>100</v>
      </c>
    </row>
    <row r="5" spans="1:13" x14ac:dyDescent="0.25">
      <c r="A5" s="3"/>
    </row>
    <row r="21" spans="2:3" x14ac:dyDescent="0.25">
      <c r="B21" t="s">
        <v>98</v>
      </c>
      <c r="C21">
        <v>5884.96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7C01-48DA-409F-B001-1EF2B7EF07AF}">
  <dimension ref="A1:M15"/>
  <sheetViews>
    <sheetView tabSelected="1" workbookViewId="0">
      <selection activeCell="H23" sqref="H23"/>
    </sheetView>
  </sheetViews>
  <sheetFormatPr defaultRowHeight="15" x14ac:dyDescent="0.25"/>
  <cols>
    <col min="1" max="1" width="4.140625" bestFit="1" customWidth="1"/>
    <col min="2" max="2" width="24.140625" bestFit="1" customWidth="1"/>
    <col min="3" max="3" width="34.85546875" customWidth="1"/>
    <col min="4" max="4" width="9.7109375" bestFit="1" customWidth="1"/>
    <col min="5" max="5" width="7.5703125" bestFit="1" customWidth="1"/>
    <col min="6" max="6" width="10.7109375" style="19" bestFit="1" customWidth="1"/>
    <col min="7" max="13" width="9.7109375" bestFit="1" customWidth="1"/>
  </cols>
  <sheetData>
    <row r="1" spans="1:13" x14ac:dyDescent="0.25">
      <c r="A1" s="24" t="s">
        <v>0</v>
      </c>
      <c r="B1" s="24" t="s">
        <v>72</v>
      </c>
      <c r="C1" s="24" t="s">
        <v>119</v>
      </c>
      <c r="D1" s="24" t="s">
        <v>106</v>
      </c>
      <c r="E1" s="24" t="s">
        <v>102</v>
      </c>
      <c r="F1" s="25" t="s">
        <v>105</v>
      </c>
    </row>
    <row r="2" spans="1:13" x14ac:dyDescent="0.25">
      <c r="A2" t="s">
        <v>68</v>
      </c>
      <c r="B2" s="26" t="s">
        <v>116</v>
      </c>
      <c r="C2" t="s">
        <v>108</v>
      </c>
      <c r="D2" t="s">
        <v>107</v>
      </c>
      <c r="E2" s="23" t="s">
        <v>37</v>
      </c>
      <c r="F2" s="21">
        <v>45679</v>
      </c>
      <c r="G2" s="21"/>
      <c r="H2" s="22">
        <v>45707</v>
      </c>
      <c r="I2" s="19">
        <v>45735</v>
      </c>
      <c r="J2" s="19">
        <v>45763</v>
      </c>
      <c r="K2" s="19">
        <v>45791</v>
      </c>
      <c r="L2" s="19">
        <v>45819</v>
      </c>
      <c r="M2" s="19">
        <v>45847</v>
      </c>
    </row>
    <row r="3" spans="1:13" x14ac:dyDescent="0.25">
      <c r="A3" t="s">
        <v>69</v>
      </c>
      <c r="B3" t="s">
        <v>109</v>
      </c>
      <c r="C3" t="s">
        <v>110</v>
      </c>
      <c r="D3" t="s">
        <v>112</v>
      </c>
      <c r="E3" s="23" t="s">
        <v>104</v>
      </c>
      <c r="F3" s="21">
        <v>45686</v>
      </c>
      <c r="G3" s="21"/>
      <c r="H3" s="22">
        <v>45714</v>
      </c>
      <c r="I3" s="19">
        <v>45742</v>
      </c>
      <c r="J3" s="19">
        <v>45770</v>
      </c>
      <c r="K3" s="19">
        <v>45798</v>
      </c>
      <c r="L3" s="19">
        <v>45826</v>
      </c>
      <c r="M3" s="19">
        <v>45854</v>
      </c>
    </row>
    <row r="4" spans="1:13" x14ac:dyDescent="0.25">
      <c r="A4" t="s">
        <v>70</v>
      </c>
      <c r="B4" s="18" t="s">
        <v>114</v>
      </c>
      <c r="C4" t="s">
        <v>111</v>
      </c>
      <c r="E4" s="23" t="s">
        <v>103</v>
      </c>
      <c r="F4" s="21">
        <v>45693</v>
      </c>
      <c r="G4" s="21"/>
      <c r="H4" s="22">
        <v>45721</v>
      </c>
      <c r="I4" s="19">
        <v>45749</v>
      </c>
      <c r="J4" s="19">
        <v>45777</v>
      </c>
      <c r="K4" s="19">
        <v>45805</v>
      </c>
      <c r="L4" s="19">
        <v>45833</v>
      </c>
      <c r="M4" s="19">
        <v>45861</v>
      </c>
    </row>
    <row r="5" spans="1:13" x14ac:dyDescent="0.25">
      <c r="A5" t="s">
        <v>71</v>
      </c>
      <c r="B5" t="s">
        <v>115</v>
      </c>
      <c r="C5" t="s">
        <v>113</v>
      </c>
      <c r="E5" s="23" t="s">
        <v>38</v>
      </c>
      <c r="F5" s="20">
        <v>45672</v>
      </c>
      <c r="G5" s="21">
        <v>45700</v>
      </c>
      <c r="H5" s="22">
        <v>45728</v>
      </c>
      <c r="I5" s="19">
        <v>45756</v>
      </c>
      <c r="J5" s="19">
        <v>45784</v>
      </c>
      <c r="K5" s="19">
        <v>45812</v>
      </c>
      <c r="L5" s="19">
        <v>45840</v>
      </c>
      <c r="M5" s="19">
        <v>45868</v>
      </c>
    </row>
    <row r="6" spans="1:13" x14ac:dyDescent="0.25">
      <c r="B6" s="26" t="s">
        <v>7</v>
      </c>
      <c r="F6" s="19" t="s">
        <v>117</v>
      </c>
    </row>
    <row r="7" spans="1:13" x14ac:dyDescent="0.25">
      <c r="B7" t="s">
        <v>118</v>
      </c>
      <c r="C7" t="s">
        <v>101</v>
      </c>
    </row>
    <row r="15" spans="1:13" x14ac:dyDescent="0.25">
      <c r="H1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8CB4-5D3D-4C95-8E29-580198945159}">
  <dimension ref="A1:A20"/>
  <sheetViews>
    <sheetView workbookViewId="0">
      <selection sqref="A1:A20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5D2E-6B11-4102-B435-7C42A30F9C87}">
  <dimension ref="A1:J39"/>
  <sheetViews>
    <sheetView topLeftCell="A22" workbookViewId="0">
      <selection activeCell="H39" sqref="H39"/>
    </sheetView>
  </sheetViews>
  <sheetFormatPr defaultRowHeight="15" x14ac:dyDescent="0.25"/>
  <cols>
    <col min="1" max="1" width="7.28515625" bestFit="1" customWidth="1"/>
    <col min="3" max="3" width="6" bestFit="1" customWidth="1"/>
    <col min="4" max="4" width="9.7109375" bestFit="1" customWidth="1"/>
    <col min="6" max="6" width="8.7109375" bestFit="1" customWidth="1"/>
    <col min="8" max="8" width="52" customWidth="1"/>
  </cols>
  <sheetData>
    <row r="1" spans="1:8" x14ac:dyDescent="0.25">
      <c r="A1" t="s">
        <v>35</v>
      </c>
      <c r="B1" s="2">
        <v>1</v>
      </c>
    </row>
    <row r="2" spans="1:8" x14ac:dyDescent="0.25">
      <c r="A2" t="s">
        <v>20</v>
      </c>
      <c r="B2" t="s">
        <v>25</v>
      </c>
      <c r="C2" t="s">
        <v>26</v>
      </c>
      <c r="D2" t="s">
        <v>27</v>
      </c>
      <c r="E2" t="s">
        <v>29</v>
      </c>
      <c r="F2" t="s">
        <v>30</v>
      </c>
    </row>
    <row r="3" spans="1:8" x14ac:dyDescent="0.25">
      <c r="A3" t="s">
        <v>22</v>
      </c>
      <c r="B3">
        <v>3650</v>
      </c>
      <c r="C3">
        <v>13</v>
      </c>
      <c r="D3">
        <f>(B3*C3)</f>
        <v>47450</v>
      </c>
      <c r="E3">
        <v>1.25</v>
      </c>
      <c r="F3">
        <f>B3*E3</f>
        <v>4562.5</v>
      </c>
    </row>
    <row r="4" spans="1:8" x14ac:dyDescent="0.25">
      <c r="A4" t="s">
        <v>23</v>
      </c>
      <c r="B4">
        <v>2000</v>
      </c>
      <c r="C4">
        <v>26.31</v>
      </c>
      <c r="D4">
        <f t="shared" ref="D4:D5" si="0">(B4*C4)</f>
        <v>52620</v>
      </c>
      <c r="E4">
        <v>2</v>
      </c>
      <c r="F4">
        <f t="shared" ref="F4:F5" si="1">B4*E4</f>
        <v>4000</v>
      </c>
    </row>
    <row r="5" spans="1:8" x14ac:dyDescent="0.25">
      <c r="A5" t="s">
        <v>24</v>
      </c>
      <c r="B5">
        <v>2000</v>
      </c>
      <c r="C5">
        <v>25</v>
      </c>
      <c r="D5">
        <f t="shared" si="0"/>
        <v>50000</v>
      </c>
      <c r="E5">
        <v>2</v>
      </c>
      <c r="F5">
        <f t="shared" si="1"/>
        <v>4000</v>
      </c>
    </row>
    <row r="6" spans="1:8" x14ac:dyDescent="0.25">
      <c r="A6" t="s">
        <v>41</v>
      </c>
      <c r="D6">
        <v>20000</v>
      </c>
    </row>
    <row r="7" spans="1:8" x14ac:dyDescent="0.25">
      <c r="D7">
        <f>SUM(D3:D6)</f>
        <v>170070</v>
      </c>
      <c r="F7">
        <f>SUM(F3:F5)</f>
        <v>12562.5</v>
      </c>
      <c r="H7" t="s">
        <v>46</v>
      </c>
    </row>
    <row r="9" spans="1:8" x14ac:dyDescent="0.25">
      <c r="A9" t="s">
        <v>35</v>
      </c>
      <c r="B9" s="2">
        <v>2</v>
      </c>
    </row>
    <row r="10" spans="1:8" x14ac:dyDescent="0.25">
      <c r="A10" t="s">
        <v>20</v>
      </c>
      <c r="B10" t="s">
        <v>25</v>
      </c>
      <c r="C10" t="s">
        <v>26</v>
      </c>
      <c r="D10" t="s">
        <v>27</v>
      </c>
      <c r="E10" t="s">
        <v>29</v>
      </c>
      <c r="F10" t="s">
        <v>30</v>
      </c>
      <c r="H10" t="s">
        <v>42</v>
      </c>
    </row>
    <row r="11" spans="1:8" x14ac:dyDescent="0.25">
      <c r="A11" t="s">
        <v>22</v>
      </c>
      <c r="B11">
        <v>1825</v>
      </c>
      <c r="C11">
        <v>13</v>
      </c>
      <c r="D11">
        <f>(B11*C11)</f>
        <v>23725</v>
      </c>
      <c r="E11">
        <v>1.25</v>
      </c>
      <c r="F11">
        <f>B11*E11</f>
        <v>2281.25</v>
      </c>
    </row>
    <row r="12" spans="1:8" x14ac:dyDescent="0.25">
      <c r="A12" t="s">
        <v>23</v>
      </c>
      <c r="B12">
        <v>1000</v>
      </c>
      <c r="C12">
        <v>26.31</v>
      </c>
      <c r="D12">
        <f t="shared" ref="D12:D13" si="2">(B12*C12)</f>
        <v>26310</v>
      </c>
      <c r="E12">
        <v>2</v>
      </c>
      <c r="F12">
        <f t="shared" ref="F12:F13" si="3">B12*E12</f>
        <v>2000</v>
      </c>
    </row>
    <row r="13" spans="1:8" x14ac:dyDescent="0.25">
      <c r="A13" t="s">
        <v>24</v>
      </c>
      <c r="B13">
        <v>1000</v>
      </c>
      <c r="C13">
        <v>25</v>
      </c>
      <c r="D13">
        <f t="shared" si="2"/>
        <v>25000</v>
      </c>
      <c r="E13">
        <v>2</v>
      </c>
      <c r="F13">
        <f t="shared" si="3"/>
        <v>2000</v>
      </c>
    </row>
    <row r="14" spans="1:8" x14ac:dyDescent="0.25">
      <c r="A14" t="s">
        <v>41</v>
      </c>
      <c r="D14">
        <v>20000</v>
      </c>
    </row>
    <row r="15" spans="1:8" x14ac:dyDescent="0.25">
      <c r="D15">
        <f>SUM(D11:D14)</f>
        <v>95035</v>
      </c>
      <c r="F15">
        <f>SUM(F11:F13)</f>
        <v>6281.25</v>
      </c>
    </row>
    <row r="17" spans="1:10" x14ac:dyDescent="0.25">
      <c r="A17" t="s">
        <v>20</v>
      </c>
      <c r="B17" t="s">
        <v>25</v>
      </c>
      <c r="C17" t="s">
        <v>31</v>
      </c>
      <c r="D17" t="s">
        <v>32</v>
      </c>
      <c r="E17" t="s">
        <v>28</v>
      </c>
      <c r="F17" t="s">
        <v>33</v>
      </c>
      <c r="G17" t="s">
        <v>34</v>
      </c>
    </row>
    <row r="18" spans="1:10" x14ac:dyDescent="0.25">
      <c r="A18" t="s">
        <v>8</v>
      </c>
      <c r="B18">
        <v>2150</v>
      </c>
      <c r="C18">
        <v>35</v>
      </c>
      <c r="D18">
        <f>(B18*C18)</f>
        <v>75250</v>
      </c>
      <c r="E18">
        <v>60</v>
      </c>
      <c r="F18">
        <v>21.5</v>
      </c>
      <c r="G18">
        <f>4*E18*F18</f>
        <v>5160</v>
      </c>
    </row>
    <row r="22" spans="1:10" x14ac:dyDescent="0.25">
      <c r="A22" t="s">
        <v>35</v>
      </c>
      <c r="B22">
        <v>3</v>
      </c>
    </row>
    <row r="23" spans="1:10" x14ac:dyDescent="0.25">
      <c r="A23" t="s">
        <v>20</v>
      </c>
      <c r="B23" t="s">
        <v>25</v>
      </c>
      <c r="C23" t="s">
        <v>26</v>
      </c>
      <c r="D23" t="s">
        <v>27</v>
      </c>
      <c r="E23" t="s">
        <v>29</v>
      </c>
      <c r="F23" t="s">
        <v>30</v>
      </c>
    </row>
    <row r="24" spans="1:10" x14ac:dyDescent="0.25">
      <c r="A24" t="s">
        <v>22</v>
      </c>
      <c r="B24">
        <v>2500</v>
      </c>
      <c r="C24">
        <v>12.88</v>
      </c>
      <c r="D24">
        <f>(B24*C24)</f>
        <v>32200.000000000004</v>
      </c>
      <c r="E24">
        <v>1.25</v>
      </c>
      <c r="F24">
        <f>B24*E24</f>
        <v>3125</v>
      </c>
      <c r="I24">
        <v>87745</v>
      </c>
    </row>
    <row r="25" spans="1:10" x14ac:dyDescent="0.25">
      <c r="A25" t="s">
        <v>36</v>
      </c>
      <c r="B25">
        <v>2000</v>
      </c>
      <c r="C25">
        <v>10.46</v>
      </c>
      <c r="D25">
        <f t="shared" ref="D25:D28" si="4">(B25*C25)</f>
        <v>20920</v>
      </c>
      <c r="E25">
        <v>1</v>
      </c>
      <c r="F25">
        <f t="shared" ref="F25:F28" si="5">B25*E25</f>
        <v>2000</v>
      </c>
      <c r="I25">
        <v>18100</v>
      </c>
    </row>
    <row r="26" spans="1:10" x14ac:dyDescent="0.25">
      <c r="A26" t="s">
        <v>7</v>
      </c>
      <c r="B26">
        <v>1000</v>
      </c>
      <c r="C26">
        <v>17.8</v>
      </c>
      <c r="D26">
        <f t="shared" si="4"/>
        <v>17800</v>
      </c>
      <c r="E26">
        <v>1</v>
      </c>
      <c r="F26">
        <f t="shared" si="5"/>
        <v>1000</v>
      </c>
      <c r="I26">
        <v>20000</v>
      </c>
      <c r="J26" t="s">
        <v>39</v>
      </c>
    </row>
    <row r="27" spans="1:10" x14ac:dyDescent="0.25">
      <c r="A27" t="s">
        <v>37</v>
      </c>
      <c r="B27">
        <v>1000</v>
      </c>
      <c r="C27">
        <v>12.16</v>
      </c>
      <c r="D27">
        <f t="shared" si="4"/>
        <v>12160</v>
      </c>
      <c r="E27">
        <v>1</v>
      </c>
      <c r="F27">
        <f t="shared" si="5"/>
        <v>1000</v>
      </c>
      <c r="I27">
        <v>36000</v>
      </c>
      <c r="J27" t="s">
        <v>40</v>
      </c>
    </row>
    <row r="28" spans="1:10" x14ac:dyDescent="0.25">
      <c r="A28" t="s">
        <v>38</v>
      </c>
      <c r="B28">
        <v>250</v>
      </c>
      <c r="C28">
        <v>18.66</v>
      </c>
      <c r="D28">
        <f t="shared" si="4"/>
        <v>4665</v>
      </c>
      <c r="E28">
        <v>1</v>
      </c>
      <c r="F28">
        <f t="shared" si="5"/>
        <v>250</v>
      </c>
      <c r="I28">
        <f>SUM(I24:I27)</f>
        <v>161845</v>
      </c>
    </row>
    <row r="29" spans="1:10" x14ac:dyDescent="0.25">
      <c r="A29" t="s">
        <v>43</v>
      </c>
      <c r="D29">
        <v>20000</v>
      </c>
    </row>
    <row r="30" spans="1:10" x14ac:dyDescent="0.25">
      <c r="D30">
        <f>SUM(D24:D29)</f>
        <v>107745</v>
      </c>
      <c r="F30">
        <f>SUM(F24:F28)</f>
        <v>7375</v>
      </c>
    </row>
    <row r="31" spans="1:10" x14ac:dyDescent="0.25">
      <c r="H31" t="s">
        <v>44</v>
      </c>
    </row>
    <row r="32" spans="1:10" x14ac:dyDescent="0.25">
      <c r="A32" t="s">
        <v>20</v>
      </c>
      <c r="B32" t="s">
        <v>25</v>
      </c>
      <c r="C32" t="s">
        <v>31</v>
      </c>
      <c r="D32" t="s">
        <v>32</v>
      </c>
      <c r="E32" t="s">
        <v>28</v>
      </c>
      <c r="F32" t="s">
        <v>33</v>
      </c>
      <c r="G32" t="s">
        <v>34</v>
      </c>
    </row>
    <row r="33" spans="1:8" x14ac:dyDescent="0.25">
      <c r="A33" t="s">
        <v>8</v>
      </c>
      <c r="B33">
        <v>500</v>
      </c>
      <c r="C33">
        <v>36.200000000000003</v>
      </c>
      <c r="D33">
        <f>(B33*C33)</f>
        <v>18100</v>
      </c>
      <c r="E33">
        <v>60</v>
      </c>
      <c r="F33">
        <v>5</v>
      </c>
      <c r="G33">
        <f>4*E33*F33</f>
        <v>1200</v>
      </c>
    </row>
    <row r="34" spans="1:8" x14ac:dyDescent="0.25">
      <c r="A34" t="s">
        <v>8</v>
      </c>
      <c r="B34">
        <v>500</v>
      </c>
      <c r="C34">
        <v>36.200000000000003</v>
      </c>
      <c r="D34">
        <f>(B34*C34)</f>
        <v>18100</v>
      </c>
      <c r="E34">
        <v>60</v>
      </c>
      <c r="F34">
        <v>5</v>
      </c>
      <c r="G34">
        <f>4*E34*F34</f>
        <v>1200</v>
      </c>
    </row>
    <row r="37" spans="1:8" x14ac:dyDescent="0.25">
      <c r="A37" t="s">
        <v>35</v>
      </c>
      <c r="B37">
        <v>3</v>
      </c>
    </row>
    <row r="38" spans="1:8" x14ac:dyDescent="0.25">
      <c r="A38" t="s">
        <v>20</v>
      </c>
      <c r="B38" t="s">
        <v>25</v>
      </c>
      <c r="C38" t="s">
        <v>31</v>
      </c>
      <c r="D38" t="s">
        <v>32</v>
      </c>
      <c r="E38" t="s">
        <v>28</v>
      </c>
      <c r="F38" t="s">
        <v>33</v>
      </c>
      <c r="G38" t="s">
        <v>34</v>
      </c>
      <c r="H38" t="s">
        <v>45</v>
      </c>
    </row>
    <row r="39" spans="1:8" x14ac:dyDescent="0.25">
      <c r="A39" t="s">
        <v>8</v>
      </c>
      <c r="B39">
        <v>4000</v>
      </c>
      <c r="C39">
        <v>36.200000000000003</v>
      </c>
      <c r="D39">
        <f>(B39*C39)</f>
        <v>144800</v>
      </c>
      <c r="E39">
        <v>60</v>
      </c>
      <c r="F39">
        <v>40</v>
      </c>
      <c r="G39">
        <f>4*E39*F39</f>
        <v>9600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1E65-044D-493A-B078-3CEDB38866E7}">
  <dimension ref="A1:O40"/>
  <sheetViews>
    <sheetView topLeftCell="A22" zoomScale="124" zoomScaleNormal="124" workbookViewId="0">
      <selection activeCell="D36" sqref="D36"/>
    </sheetView>
  </sheetViews>
  <sheetFormatPr defaultRowHeight="15" x14ac:dyDescent="0.25"/>
  <cols>
    <col min="1" max="1" width="20.7109375" customWidth="1"/>
    <col min="2" max="2" width="10" bestFit="1" customWidth="1"/>
    <col min="3" max="7" width="9.42578125" bestFit="1" customWidth="1"/>
    <col min="8" max="9" width="14.7109375" bestFit="1" customWidth="1"/>
  </cols>
  <sheetData>
    <row r="1" spans="1:7" x14ac:dyDescent="0.25">
      <c r="A1" s="6" t="s">
        <v>47</v>
      </c>
      <c r="B1" s="5">
        <v>54000</v>
      </c>
      <c r="C1" s="14" t="s">
        <v>21</v>
      </c>
      <c r="D1" s="5"/>
      <c r="E1" s="5"/>
      <c r="F1" s="5"/>
      <c r="G1" s="5"/>
    </row>
    <row r="2" spans="1:7" x14ac:dyDescent="0.25">
      <c r="A2" s="6" t="s">
        <v>51</v>
      </c>
      <c r="B2" s="9">
        <v>45576</v>
      </c>
      <c r="C2" s="5"/>
      <c r="D2" s="5"/>
      <c r="E2" s="5"/>
      <c r="F2" s="5"/>
      <c r="G2" s="5"/>
    </row>
    <row r="3" spans="1:7" x14ac:dyDescent="0.25">
      <c r="A3" s="6"/>
      <c r="B3" s="5"/>
      <c r="C3" s="12" t="s">
        <v>61</v>
      </c>
      <c r="D3" s="12" t="s">
        <v>61</v>
      </c>
      <c r="E3" s="12" t="s">
        <v>61</v>
      </c>
      <c r="F3" s="5"/>
      <c r="G3" s="12" t="s">
        <v>61</v>
      </c>
    </row>
    <row r="4" spans="1:7" x14ac:dyDescent="0.25">
      <c r="A4" s="10" t="s">
        <v>48</v>
      </c>
      <c r="B4" s="11" t="s">
        <v>8</v>
      </c>
      <c r="C4" s="11" t="s">
        <v>2</v>
      </c>
      <c r="D4" s="11" t="s">
        <v>1</v>
      </c>
      <c r="E4" s="11" t="s">
        <v>15</v>
      </c>
      <c r="F4" s="11" t="s">
        <v>9</v>
      </c>
      <c r="G4" s="11" t="s">
        <v>60</v>
      </c>
    </row>
    <row r="5" spans="1:7" x14ac:dyDescent="0.25">
      <c r="A5" s="6" t="s">
        <v>59</v>
      </c>
      <c r="B5" s="13">
        <v>36.71</v>
      </c>
      <c r="C5" s="13">
        <v>169.95</v>
      </c>
      <c r="D5" s="13">
        <v>175.98</v>
      </c>
      <c r="E5" s="13">
        <v>270.51</v>
      </c>
      <c r="F5" s="13">
        <v>250</v>
      </c>
      <c r="G5" s="13">
        <v>45.61</v>
      </c>
    </row>
    <row r="6" spans="1:7" x14ac:dyDescent="0.25">
      <c r="A6" s="6" t="s">
        <v>49</v>
      </c>
      <c r="B6" s="13">
        <v>33</v>
      </c>
      <c r="C6" s="13">
        <v>167.5</v>
      </c>
      <c r="D6" s="13">
        <v>172.5</v>
      </c>
      <c r="E6" s="13">
        <v>270</v>
      </c>
      <c r="F6" s="13">
        <v>237.5</v>
      </c>
      <c r="G6" s="13">
        <v>45.5</v>
      </c>
    </row>
    <row r="7" spans="1:7" x14ac:dyDescent="0.25">
      <c r="A7" s="6" t="s">
        <v>50</v>
      </c>
      <c r="B7" s="13">
        <v>0.49</v>
      </c>
      <c r="C7" s="13">
        <v>4.2</v>
      </c>
      <c r="D7" s="13">
        <v>5.2</v>
      </c>
      <c r="E7" s="13">
        <v>6.1</v>
      </c>
      <c r="F7" s="13">
        <v>4.8</v>
      </c>
      <c r="G7" s="13">
        <v>0.96</v>
      </c>
    </row>
    <row r="8" spans="1:7" x14ac:dyDescent="0.25">
      <c r="A8" s="6"/>
      <c r="B8" s="9"/>
      <c r="C8" s="9"/>
      <c r="D8" s="9"/>
      <c r="E8" s="9"/>
      <c r="F8" s="9"/>
      <c r="G8" s="9"/>
    </row>
    <row r="9" spans="1:7" x14ac:dyDescent="0.25">
      <c r="A9" s="6" t="s">
        <v>52</v>
      </c>
      <c r="B9" s="7">
        <f t="shared" ref="B9:G9" si="0">1-(B6/B5)</f>
        <v>0.10106238082266417</v>
      </c>
      <c r="C9" s="7">
        <f t="shared" si="0"/>
        <v>1.4416004707266783E-2</v>
      </c>
      <c r="D9" s="7">
        <f t="shared" si="0"/>
        <v>1.9774974428912295E-2</v>
      </c>
      <c r="E9" s="7">
        <f t="shared" si="0"/>
        <v>1.8853277143173752E-3</v>
      </c>
      <c r="F9" s="7">
        <f t="shared" si="0"/>
        <v>5.0000000000000044E-2</v>
      </c>
      <c r="G9" s="7">
        <f t="shared" si="0"/>
        <v>2.4117518088138112E-3</v>
      </c>
    </row>
    <row r="10" spans="1:7" x14ac:dyDescent="0.25">
      <c r="A10" s="6" t="s">
        <v>53</v>
      </c>
      <c r="B10" s="5">
        <f t="shared" ref="B10:G10" si="1">ROUNDDOWN(($B$1)/(B6*100),0)</f>
        <v>16</v>
      </c>
      <c r="C10" s="5">
        <f t="shared" si="1"/>
        <v>3</v>
      </c>
      <c r="D10" s="5">
        <f t="shared" si="1"/>
        <v>3</v>
      </c>
      <c r="E10" s="5">
        <f t="shared" si="1"/>
        <v>2</v>
      </c>
      <c r="F10" s="5">
        <f t="shared" si="1"/>
        <v>2</v>
      </c>
      <c r="G10" s="5">
        <f t="shared" si="1"/>
        <v>11</v>
      </c>
    </row>
    <row r="11" spans="1:7" x14ac:dyDescent="0.25">
      <c r="A11" s="6" t="s">
        <v>55</v>
      </c>
      <c r="B11" s="5">
        <f ca="1">NETWORKDAYS(TODAY(),B2)</f>
        <v>-67</v>
      </c>
      <c r="C11" s="5">
        <f ca="1">NETWORKDAYS(TODAY(),B2)</f>
        <v>-67</v>
      </c>
      <c r="D11" s="5">
        <f ca="1">NETWORKDAYS(TODAY(),B2)</f>
        <v>-67</v>
      </c>
      <c r="E11" s="5">
        <f ca="1">NETWORKDAYS(TODAY(),B2)</f>
        <v>-67</v>
      </c>
      <c r="F11" s="5">
        <f ca="1">NETWORKDAYS(TODAY(),B2)</f>
        <v>-67</v>
      </c>
      <c r="G11" s="5">
        <f ca="1">NETWORKDAYS(TODAY(),B2)</f>
        <v>-67</v>
      </c>
    </row>
    <row r="12" spans="1:7" x14ac:dyDescent="0.25">
      <c r="A12" s="6" t="s">
        <v>54</v>
      </c>
      <c r="B12" s="8">
        <f t="shared" ref="B12:G12" si="2">(B7*B10*100)</f>
        <v>784</v>
      </c>
      <c r="C12" s="8">
        <f t="shared" si="2"/>
        <v>1260.0000000000002</v>
      </c>
      <c r="D12" s="8">
        <f t="shared" si="2"/>
        <v>1560.0000000000002</v>
      </c>
      <c r="E12" s="8">
        <f t="shared" si="2"/>
        <v>1220</v>
      </c>
      <c r="F12" s="8">
        <f t="shared" si="2"/>
        <v>960</v>
      </c>
      <c r="G12" s="8">
        <f t="shared" si="2"/>
        <v>1055.9999999999998</v>
      </c>
    </row>
    <row r="13" spans="1:7" x14ac:dyDescent="0.25">
      <c r="A13" s="6" t="s">
        <v>56</v>
      </c>
      <c r="B13" s="8">
        <f t="shared" ref="B13:G13" ca="1" si="3">B12/B11</f>
        <v>-11.701492537313433</v>
      </c>
      <c r="C13" s="8">
        <f t="shared" ca="1" si="3"/>
        <v>-18.805970149253735</v>
      </c>
      <c r="D13" s="8">
        <f t="shared" ca="1" si="3"/>
        <v>-23.283582089552244</v>
      </c>
      <c r="E13" s="8">
        <f t="shared" ca="1" si="3"/>
        <v>-18.208955223880597</v>
      </c>
      <c r="F13" s="8">
        <f t="shared" ca="1" si="3"/>
        <v>-14.328358208955224</v>
      </c>
      <c r="G13" s="8">
        <f t="shared" ca="1" si="3"/>
        <v>-15.761194029850742</v>
      </c>
    </row>
    <row r="14" spans="1:7" x14ac:dyDescent="0.25">
      <c r="A14" s="6" t="s">
        <v>57</v>
      </c>
      <c r="B14" s="5">
        <f t="shared" ref="B14:G14" si="4">B6*B10*100</f>
        <v>52800</v>
      </c>
      <c r="C14" s="5">
        <f t="shared" si="4"/>
        <v>50250</v>
      </c>
      <c r="D14" s="5">
        <f t="shared" si="4"/>
        <v>51750</v>
      </c>
      <c r="E14" s="5">
        <f t="shared" si="4"/>
        <v>54000</v>
      </c>
      <c r="F14" s="5">
        <f t="shared" si="4"/>
        <v>47500</v>
      </c>
      <c r="G14" s="5">
        <f t="shared" si="4"/>
        <v>50050</v>
      </c>
    </row>
    <row r="15" spans="1:7" x14ac:dyDescent="0.25">
      <c r="A15" s="6" t="s">
        <v>58</v>
      </c>
      <c r="B15" s="7">
        <f t="shared" ref="B15:G15" ca="1" si="5">(B12/B14)*252/B11</f>
        <v>-5.5848032564450471E-2</v>
      </c>
      <c r="C15" s="7">
        <f t="shared" ca="1" si="5"/>
        <v>-9.4310536867899322E-2</v>
      </c>
      <c r="D15" s="7">
        <f t="shared" ca="1" si="5"/>
        <v>-0.11338092147955874</v>
      </c>
      <c r="E15" s="7">
        <f t="shared" ca="1" si="5"/>
        <v>-8.497512437810946E-2</v>
      </c>
      <c r="F15" s="7">
        <f t="shared" ca="1" si="5"/>
        <v>-7.6015710919088764E-2</v>
      </c>
      <c r="G15" s="7">
        <f t="shared" ca="1" si="5"/>
        <v>-7.9357060849598149E-2</v>
      </c>
    </row>
    <row r="18" spans="1:12" x14ac:dyDescent="0.25">
      <c r="A18" s="6" t="s">
        <v>47</v>
      </c>
      <c r="B18" s="5">
        <v>55200</v>
      </c>
      <c r="C18" s="12" t="s">
        <v>62</v>
      </c>
      <c r="D18" s="5"/>
      <c r="E18" s="5"/>
      <c r="F18" s="5"/>
      <c r="G18" s="5"/>
    </row>
    <row r="19" spans="1:12" x14ac:dyDescent="0.25">
      <c r="A19" s="6" t="s">
        <v>51</v>
      </c>
      <c r="B19" s="9">
        <v>45576</v>
      </c>
      <c r="C19" s="5"/>
      <c r="D19" s="5"/>
      <c r="E19" s="5"/>
      <c r="F19" s="5"/>
      <c r="G19" s="5"/>
    </row>
    <row r="20" spans="1:12" x14ac:dyDescent="0.25">
      <c r="A20" s="6"/>
      <c r="B20" s="5"/>
      <c r="C20" s="5"/>
      <c r="D20" s="5"/>
      <c r="E20" s="5"/>
      <c r="F20" s="5"/>
      <c r="G20" s="5"/>
    </row>
    <row r="21" spans="1:12" x14ac:dyDescent="0.25">
      <c r="A21" s="10" t="s">
        <v>48</v>
      </c>
      <c r="B21" s="11" t="s">
        <v>8</v>
      </c>
      <c r="C21" s="11" t="s">
        <v>2</v>
      </c>
      <c r="D21" s="11" t="s">
        <v>1</v>
      </c>
      <c r="E21" s="11" t="s">
        <v>15</v>
      </c>
      <c r="F21" s="11" t="s">
        <v>9</v>
      </c>
      <c r="G21" s="11" t="s">
        <v>60</v>
      </c>
    </row>
    <row r="22" spans="1:12" x14ac:dyDescent="0.25">
      <c r="A22" s="6" t="s">
        <v>59</v>
      </c>
      <c r="B22" s="13">
        <v>36.71</v>
      </c>
      <c r="C22" s="13">
        <v>169.95</v>
      </c>
      <c r="D22" s="13">
        <v>175.98</v>
      </c>
      <c r="E22" s="13">
        <v>270.51</v>
      </c>
      <c r="F22" s="13">
        <v>250</v>
      </c>
      <c r="G22" s="13">
        <v>45.61</v>
      </c>
      <c r="I22" t="s">
        <v>66</v>
      </c>
    </row>
    <row r="23" spans="1:12" x14ac:dyDescent="0.25">
      <c r="A23" s="6" t="s">
        <v>49</v>
      </c>
      <c r="B23" s="13">
        <v>40</v>
      </c>
      <c r="C23" s="13">
        <v>182</v>
      </c>
      <c r="D23" s="13">
        <v>190</v>
      </c>
      <c r="E23" s="13">
        <v>280.51</v>
      </c>
      <c r="F23" s="13">
        <v>250</v>
      </c>
      <c r="G23" s="13">
        <v>46</v>
      </c>
      <c r="I23" t="s">
        <v>67</v>
      </c>
    </row>
    <row r="24" spans="1:12" x14ac:dyDescent="0.25">
      <c r="A24" s="6" t="s">
        <v>50</v>
      </c>
      <c r="B24" s="13">
        <v>0.49</v>
      </c>
      <c r="C24" s="13">
        <v>2.15</v>
      </c>
      <c r="D24" s="13">
        <v>2.59</v>
      </c>
      <c r="E24" s="13">
        <v>3.1</v>
      </c>
      <c r="F24" s="13">
        <v>9.25</v>
      </c>
      <c r="G24" s="13">
        <v>0.93</v>
      </c>
    </row>
    <row r="25" spans="1:12" x14ac:dyDescent="0.25">
      <c r="A25" s="6"/>
      <c r="B25" s="9"/>
      <c r="C25" s="9"/>
      <c r="D25" s="9"/>
      <c r="E25" s="9"/>
      <c r="F25" s="9"/>
      <c r="G25" s="9"/>
    </row>
    <row r="26" spans="1:12" x14ac:dyDescent="0.25">
      <c r="A26" s="6" t="s">
        <v>63</v>
      </c>
      <c r="B26" s="7">
        <f t="shared" ref="B26:G26" si="6" xml:space="preserve"> ( B23 - B22 + B24 ) / 100</f>
        <v>3.7799999999999993E-2</v>
      </c>
      <c r="C26" s="7">
        <f t="shared" si="6"/>
        <v>0.14200000000000013</v>
      </c>
      <c r="D26" s="7">
        <f t="shared" si="6"/>
        <v>0.16610000000000011</v>
      </c>
      <c r="E26" s="7">
        <f t="shared" si="6"/>
        <v>0.13100000000000001</v>
      </c>
      <c r="F26" s="7">
        <f t="shared" si="6"/>
        <v>9.2499999999999999E-2</v>
      </c>
      <c r="G26" s="7">
        <f t="shared" si="6"/>
        <v>1.3200000000000007E-2</v>
      </c>
    </row>
    <row r="27" spans="1:12" x14ac:dyDescent="0.25">
      <c r="A27" s="6" t="s">
        <v>53</v>
      </c>
      <c r="B27" s="5">
        <f t="shared" ref="B27:G27" si="7">ROUNDDOWN(($B$18)/(B22*100),0)</f>
        <v>15</v>
      </c>
      <c r="C27" s="5">
        <f t="shared" si="7"/>
        <v>3</v>
      </c>
      <c r="D27" s="5">
        <f t="shared" si="7"/>
        <v>3</v>
      </c>
      <c r="E27" s="5">
        <f t="shared" si="7"/>
        <v>2</v>
      </c>
      <c r="F27" s="5">
        <f t="shared" si="7"/>
        <v>2</v>
      </c>
      <c r="G27" s="5">
        <f t="shared" si="7"/>
        <v>12</v>
      </c>
    </row>
    <row r="28" spans="1:12" x14ac:dyDescent="0.25">
      <c r="A28" s="6" t="s">
        <v>55</v>
      </c>
      <c r="B28" s="5">
        <f ca="1">NETWORKDAYS(TODAY(),B19)</f>
        <v>-67</v>
      </c>
      <c r="C28" s="5">
        <f ca="1">NETWORKDAYS(TODAY(),B19)</f>
        <v>-67</v>
      </c>
      <c r="D28" s="5">
        <f ca="1">NETWORKDAYS(TODAY(),B19)</f>
        <v>-67</v>
      </c>
      <c r="E28" s="5">
        <f ca="1">NETWORKDAYS(TODAY(),B19)</f>
        <v>-67</v>
      </c>
      <c r="F28" s="5">
        <f ca="1">NETWORKDAYS(TODAY(),B19)</f>
        <v>-67</v>
      </c>
      <c r="G28" s="5">
        <f ca="1">NETWORKDAYS(TODAY(),B19)</f>
        <v>-67</v>
      </c>
    </row>
    <row r="29" spans="1:12" x14ac:dyDescent="0.25">
      <c r="A29" s="6" t="s">
        <v>54</v>
      </c>
      <c r="B29" s="15">
        <f t="shared" ref="B29:G29" si="8">(B24*B27*100)</f>
        <v>735</v>
      </c>
      <c r="C29" s="15">
        <f t="shared" si="8"/>
        <v>644.99999999999989</v>
      </c>
      <c r="D29" s="15">
        <f t="shared" si="8"/>
        <v>777</v>
      </c>
      <c r="E29" s="15">
        <f t="shared" si="8"/>
        <v>620</v>
      </c>
      <c r="F29" s="15">
        <f t="shared" si="8"/>
        <v>1850</v>
      </c>
      <c r="G29" s="15">
        <f t="shared" si="8"/>
        <v>1116</v>
      </c>
    </row>
    <row r="30" spans="1:12" x14ac:dyDescent="0.25">
      <c r="A30" s="6" t="s">
        <v>64</v>
      </c>
      <c r="B30" s="15">
        <f t="shared" ref="B30:G30" si="9" xml:space="preserve"> (B23 - B22  + B24) * 100 *B27</f>
        <v>5669.9999999999991</v>
      </c>
      <c r="C30" s="15">
        <f t="shared" si="9"/>
        <v>4260.0000000000036</v>
      </c>
      <c r="D30" s="15">
        <f t="shared" si="9"/>
        <v>4983.0000000000027</v>
      </c>
      <c r="E30" s="15">
        <f t="shared" si="9"/>
        <v>2620</v>
      </c>
      <c r="F30" s="15">
        <f t="shared" si="9"/>
        <v>1850</v>
      </c>
      <c r="G30" s="15">
        <f t="shared" si="9"/>
        <v>1584.0000000000009</v>
      </c>
    </row>
    <row r="31" spans="1:12" x14ac:dyDescent="0.25">
      <c r="A31" s="6" t="s">
        <v>57</v>
      </c>
      <c r="B31" s="5">
        <f t="shared" ref="B31:G31" si="10">B22*B27 *100</f>
        <v>55065</v>
      </c>
      <c r="C31" s="5">
        <f t="shared" si="10"/>
        <v>50985</v>
      </c>
      <c r="D31" s="5">
        <f t="shared" si="10"/>
        <v>52793.999999999993</v>
      </c>
      <c r="E31" s="5">
        <f t="shared" si="10"/>
        <v>54102</v>
      </c>
      <c r="F31" s="5">
        <f t="shared" si="10"/>
        <v>50000</v>
      </c>
      <c r="G31" s="5">
        <f t="shared" si="10"/>
        <v>54731.999999999993</v>
      </c>
    </row>
    <row r="32" spans="1:12" x14ac:dyDescent="0.25">
      <c r="A32" s="6" t="s">
        <v>58</v>
      </c>
      <c r="B32" s="7">
        <f t="shared" ref="B32:G32" ca="1" si="11">(B29/B31)*252/B28</f>
        <v>-5.020389742922543E-2</v>
      </c>
      <c r="C32" s="7">
        <f t="shared" ca="1" si="11"/>
        <v>-4.7582036858953236E-2</v>
      </c>
      <c r="D32" s="7">
        <f t="shared" ca="1" si="11"/>
        <v>-5.5355679834716641E-2</v>
      </c>
      <c r="E32" s="7">
        <f t="shared" ca="1" si="11"/>
        <v>-4.3102663459899132E-2</v>
      </c>
      <c r="F32" s="7">
        <f t="shared" ca="1" si="11"/>
        <v>-0.13916417910447762</v>
      </c>
      <c r="G32" s="7">
        <f t="shared" ca="1" si="11"/>
        <v>-7.6691744085972249E-2</v>
      </c>
      <c r="L32">
        <v>15</v>
      </c>
    </row>
    <row r="35" spans="1:15" x14ac:dyDescent="0.25">
      <c r="A35" s="1" t="s">
        <v>65</v>
      </c>
      <c r="B35" s="4">
        <f t="shared" ref="B35:G35" si="12">B29+B30</f>
        <v>6404.9999999999991</v>
      </c>
      <c r="C35" s="4">
        <f t="shared" si="12"/>
        <v>4905.0000000000036</v>
      </c>
      <c r="D35" s="4">
        <f t="shared" si="12"/>
        <v>5760.0000000000027</v>
      </c>
      <c r="E35" s="4">
        <f t="shared" si="12"/>
        <v>3240</v>
      </c>
      <c r="F35" s="4">
        <f t="shared" si="12"/>
        <v>3700</v>
      </c>
      <c r="G35" s="4">
        <f t="shared" si="12"/>
        <v>2700.0000000000009</v>
      </c>
    </row>
    <row r="39" spans="1:15" x14ac:dyDescent="0.25">
      <c r="K39" s="3">
        <v>45308</v>
      </c>
      <c r="L39">
        <v>5.8</v>
      </c>
      <c r="M39">
        <f xml:space="preserve"> 580 *15</f>
        <v>8700</v>
      </c>
      <c r="O39">
        <v>34</v>
      </c>
    </row>
    <row r="40" spans="1:15" x14ac:dyDescent="0.25">
      <c r="K40" s="3">
        <v>45646</v>
      </c>
      <c r="L40">
        <v>500</v>
      </c>
    </row>
  </sheetData>
  <conditionalFormatting sqref="B9:G9 B26:G26">
    <cfRule type="cellIs" dxfId="3" priority="24" operator="greaterThan">
      <formula>$J$1</formula>
    </cfRule>
  </conditionalFormatting>
  <conditionalFormatting sqref="B13:G13 B29:G30">
    <cfRule type="cellIs" dxfId="2" priority="20" operator="greaterThan">
      <formula>0</formula>
    </cfRule>
    <cfRule type="cellIs" dxfId="1" priority="21" operator="lessThan">
      <formula>0</formula>
    </cfRule>
    <cfRule type="cellIs" dxfId="0" priority="22" operator="greaterThan">
      <formula>73.75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B7F4-21B7-498B-807F-F318AFBA595C}">
  <dimension ref="A1:N11"/>
  <sheetViews>
    <sheetView workbookViewId="0">
      <selection activeCell="M17" sqref="M17"/>
    </sheetView>
  </sheetViews>
  <sheetFormatPr defaultRowHeight="15" x14ac:dyDescent="0.25"/>
  <sheetData>
    <row r="1" spans="1:14" x14ac:dyDescent="0.25">
      <c r="A1" t="s">
        <v>23</v>
      </c>
      <c r="C1" t="s">
        <v>36</v>
      </c>
    </row>
    <row r="2" spans="1:14" x14ac:dyDescent="0.25">
      <c r="A2">
        <v>4.2</v>
      </c>
      <c r="C2">
        <v>0.83</v>
      </c>
    </row>
    <row r="3" spans="1:14" x14ac:dyDescent="0.25">
      <c r="A3">
        <v>1.85</v>
      </c>
      <c r="C3">
        <v>0.98</v>
      </c>
    </row>
    <row r="4" spans="1:14" x14ac:dyDescent="0.25">
      <c r="A4">
        <v>1.94</v>
      </c>
      <c r="C4">
        <v>0.78</v>
      </c>
    </row>
    <row r="5" spans="1:14" x14ac:dyDescent="0.25">
      <c r="A5">
        <v>2.33</v>
      </c>
      <c r="C5">
        <v>1</v>
      </c>
    </row>
    <row r="6" spans="1:14" x14ac:dyDescent="0.25">
      <c r="A6">
        <v>3.03</v>
      </c>
      <c r="C6">
        <v>1.1299999999999999</v>
      </c>
    </row>
    <row r="7" spans="1:14" x14ac:dyDescent="0.25">
      <c r="A7">
        <v>2.52</v>
      </c>
      <c r="C7">
        <v>1.28</v>
      </c>
    </row>
    <row r="8" spans="1:14" x14ac:dyDescent="0.25">
      <c r="A8">
        <v>4.13</v>
      </c>
      <c r="C8">
        <v>1.42</v>
      </c>
      <c r="J8" t="s">
        <v>75</v>
      </c>
      <c r="K8" t="s">
        <v>76</v>
      </c>
      <c r="L8" t="s">
        <v>77</v>
      </c>
      <c r="M8" t="s">
        <v>78</v>
      </c>
      <c r="N8" t="s">
        <v>79</v>
      </c>
    </row>
    <row r="9" spans="1:14" x14ac:dyDescent="0.25">
      <c r="A9">
        <f>SUM(A2:A8)</f>
        <v>20</v>
      </c>
      <c r="C9">
        <v>1.07</v>
      </c>
      <c r="I9" t="s">
        <v>74</v>
      </c>
      <c r="J9">
        <v>28.95</v>
      </c>
      <c r="K9">
        <v>70000</v>
      </c>
      <c r="L9">
        <f>K9/J9</f>
        <v>2417.9620034542313</v>
      </c>
      <c r="M9">
        <v>2.2000000000000002</v>
      </c>
      <c r="N9">
        <f>L9*M9</f>
        <v>5319.5164075993089</v>
      </c>
    </row>
    <row r="10" spans="1:14" x14ac:dyDescent="0.25">
      <c r="C10">
        <f>SUM(C2:C9)</f>
        <v>8.49</v>
      </c>
      <c r="I10" t="s">
        <v>36</v>
      </c>
      <c r="J10">
        <v>10</v>
      </c>
      <c r="K10">
        <v>70000</v>
      </c>
      <c r="L10">
        <f>K10/J10</f>
        <v>7000</v>
      </c>
      <c r="M10">
        <v>0.83</v>
      </c>
      <c r="N10">
        <f>L10*M10</f>
        <v>5810</v>
      </c>
    </row>
    <row r="11" spans="1:14" x14ac:dyDescent="0.25">
      <c r="A1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FC96-D931-43FB-8578-C2D42847F700}">
  <dimension ref="A1:A5"/>
  <sheetViews>
    <sheetView workbookViewId="0">
      <selection activeCell="A3" sqref="A3"/>
    </sheetView>
  </sheetViews>
  <sheetFormatPr defaultRowHeight="15" x14ac:dyDescent="0.25"/>
  <cols>
    <col min="1" max="1" width="174.140625" customWidth="1"/>
  </cols>
  <sheetData>
    <row r="1" spans="1:1" x14ac:dyDescent="0.25">
      <c r="A1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Options</vt:lpstr>
      <vt:lpstr>YieldMax</vt:lpstr>
      <vt:lpstr>Sheet1</vt:lpstr>
      <vt:lpstr>Compare</vt:lpstr>
      <vt:lpstr>OptionCalComparer</vt:lpstr>
      <vt:lpstr>72000</vt:lpstr>
      <vt:lpstr>MSTY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Gandhi</dc:creator>
  <cp:lastModifiedBy>Venkatesh Gandhi</cp:lastModifiedBy>
  <dcterms:created xsi:type="dcterms:W3CDTF">2024-09-21T00:16:45Z</dcterms:created>
  <dcterms:modified xsi:type="dcterms:W3CDTF">2025-01-13T18:00:06Z</dcterms:modified>
</cp:coreProperties>
</file>