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BD1FA57-F1FC-48C9-A06A-C67EEBF1FA6D}" xr6:coauthVersionLast="47" xr6:coauthVersionMax="47" xr10:uidLastSave="{00000000-0000-0000-0000-000000000000}"/>
  <bookViews>
    <workbookView xWindow="-120" yWindow="-120" windowWidth="20730" windowHeight="11160" firstSheet="6" activeTab="6" xr2:uid="{DF432EE8-2C46-4EDF-91CC-09F7E5AD5F89}"/>
  </bookViews>
  <sheets>
    <sheet name="SYIG" sheetId="1" r:id="rId1"/>
    <sheet name="AIF" sheetId="2" r:id="rId2"/>
    <sheet name="IGM" sheetId="3" r:id="rId3"/>
    <sheet name="OM" sheetId="4" r:id="rId4"/>
    <sheet name="APAPA" sheetId="5" r:id="rId5"/>
    <sheet name="IKD" sheetId="6" r:id="rId6"/>
    <sheet name="MNLND AFFORDABILITY CONV BAND" sheetId="15" r:id="rId7"/>
    <sheet name="END OF MAINLAND" sheetId="9" r:id="rId8"/>
    <sheet name="LIS" sheetId="10" r:id="rId9"/>
    <sheet name="VO" sheetId="11" r:id="rId10"/>
    <sheet name="LOC" sheetId="12" r:id="rId11"/>
    <sheet name="ASL" sheetId="14" r:id="rId12"/>
    <sheet name="ISLND AFFORDABILITY BAND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2" i="12"/>
  <c r="G3" i="12"/>
  <c r="G4" i="12"/>
  <c r="G5" i="12"/>
  <c r="G6" i="12"/>
  <c r="G7" i="12"/>
  <c r="G8" i="12"/>
  <c r="G9" i="12"/>
  <c r="G2" i="12"/>
  <c r="H3" i="14"/>
  <c r="H4" i="14"/>
  <c r="H5" i="14"/>
  <c r="H6" i="14"/>
  <c r="H7" i="14"/>
  <c r="H8" i="14"/>
  <c r="H9" i="14"/>
  <c r="H2" i="14"/>
  <c r="G3" i="14"/>
  <c r="G4" i="14"/>
  <c r="G5" i="14"/>
  <c r="G6" i="14"/>
  <c r="G7" i="14"/>
  <c r="G8" i="14"/>
  <c r="G9" i="14"/>
  <c r="G2" i="14"/>
  <c r="F3" i="14"/>
  <c r="F4" i="14"/>
  <c r="F5" i="14"/>
  <c r="F6" i="14"/>
  <c r="F7" i="14"/>
  <c r="F8" i="14"/>
  <c r="F9" i="14"/>
  <c r="F2" i="14"/>
  <c r="E3" i="14"/>
  <c r="E4" i="14"/>
  <c r="E5" i="14"/>
  <c r="E6" i="14"/>
  <c r="E7" i="14"/>
  <c r="E8" i="14"/>
  <c r="E9" i="14"/>
  <c r="E2" i="14"/>
  <c r="E2" i="12"/>
  <c r="F3" i="12"/>
  <c r="F4" i="12"/>
  <c r="F5" i="12"/>
  <c r="F6" i="12"/>
  <c r="F7" i="12"/>
  <c r="F8" i="12"/>
  <c r="F9" i="12"/>
  <c r="F2" i="12"/>
  <c r="E3" i="12"/>
  <c r="E4" i="12"/>
  <c r="E5" i="12"/>
  <c r="E6" i="12"/>
  <c r="E7" i="12"/>
  <c r="E8" i="12"/>
  <c r="E9" i="12"/>
  <c r="H3" i="11"/>
  <c r="H4" i="11"/>
  <c r="H5" i="11"/>
  <c r="H6" i="11"/>
  <c r="H7" i="11"/>
  <c r="H8" i="11"/>
  <c r="H9" i="11"/>
  <c r="H2" i="11"/>
  <c r="G3" i="11"/>
  <c r="G4" i="11"/>
  <c r="G5" i="11"/>
  <c r="G6" i="11"/>
  <c r="G7" i="11"/>
  <c r="G8" i="11"/>
  <c r="G9" i="11"/>
  <c r="G2" i="11"/>
  <c r="F3" i="11"/>
  <c r="F4" i="11"/>
  <c r="F5" i="11"/>
  <c r="F6" i="11"/>
  <c r="F7" i="11"/>
  <c r="F8" i="11"/>
  <c r="F9" i="11"/>
  <c r="F2" i="11"/>
  <c r="E3" i="11"/>
  <c r="E4" i="11"/>
  <c r="E5" i="11"/>
  <c r="E6" i="11"/>
  <c r="E7" i="11"/>
  <c r="E8" i="11"/>
  <c r="E9" i="11"/>
  <c r="E2" i="11"/>
  <c r="H3" i="10"/>
  <c r="H4" i="10"/>
  <c r="H5" i="10"/>
  <c r="H6" i="10"/>
  <c r="H7" i="10"/>
  <c r="H8" i="10"/>
  <c r="H9" i="10"/>
  <c r="H2" i="10"/>
  <c r="G3" i="10"/>
  <c r="G4" i="10"/>
  <c r="G5" i="10"/>
  <c r="G6" i="10"/>
  <c r="G7" i="10"/>
  <c r="G8" i="10"/>
  <c r="G9" i="10"/>
  <c r="G2" i="10"/>
  <c r="F3" i="10"/>
  <c r="F4" i="10"/>
  <c r="F5" i="10"/>
  <c r="F6" i="10"/>
  <c r="F7" i="10"/>
  <c r="F8" i="10"/>
  <c r="F9" i="10"/>
  <c r="F2" i="10"/>
  <c r="E3" i="10"/>
  <c r="E4" i="10"/>
  <c r="E5" i="10"/>
  <c r="E6" i="10"/>
  <c r="E7" i="10"/>
  <c r="E8" i="10"/>
  <c r="E9" i="10"/>
  <c r="E2" i="10"/>
  <c r="H3" i="6"/>
  <c r="H4" i="6"/>
  <c r="H5" i="6"/>
  <c r="H6" i="6"/>
  <c r="H7" i="6"/>
  <c r="H8" i="6"/>
  <c r="H9" i="6"/>
  <c r="H2" i="6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H3" i="5"/>
  <c r="H4" i="5"/>
  <c r="H5" i="5"/>
  <c r="H6" i="5"/>
  <c r="H7" i="5"/>
  <c r="H8" i="5"/>
  <c r="H9" i="5"/>
  <c r="H2" i="5"/>
  <c r="G3" i="5"/>
  <c r="G4" i="5"/>
  <c r="G5" i="5"/>
  <c r="G6" i="5"/>
  <c r="G7" i="5"/>
  <c r="G8" i="5"/>
  <c r="G9" i="5"/>
  <c r="G2" i="5"/>
  <c r="F3" i="5"/>
  <c r="F4" i="5"/>
  <c r="F5" i="5"/>
  <c r="F6" i="5"/>
  <c r="F7" i="5"/>
  <c r="F8" i="5"/>
  <c r="F9" i="5"/>
  <c r="F2" i="5"/>
  <c r="E3" i="5"/>
  <c r="E4" i="5"/>
  <c r="E5" i="5"/>
  <c r="E6" i="5"/>
  <c r="E7" i="5"/>
  <c r="E8" i="5"/>
  <c r="E9" i="5"/>
  <c r="E2" i="5"/>
  <c r="H3" i="4"/>
  <c r="H4" i="4"/>
  <c r="H5" i="4"/>
  <c r="H6" i="4"/>
  <c r="H7" i="4"/>
  <c r="H8" i="4"/>
  <c r="H9" i="4"/>
  <c r="H2" i="4"/>
  <c r="G9" i="4"/>
  <c r="G8" i="4"/>
  <c r="G7" i="4"/>
  <c r="G6" i="4"/>
  <c r="G5" i="4"/>
  <c r="G4" i="4"/>
  <c r="G3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F9" i="2"/>
  <c r="F8" i="2"/>
  <c r="F7" i="2"/>
  <c r="F6" i="2"/>
  <c r="F5" i="2"/>
  <c r="F4" i="2"/>
  <c r="F3" i="2"/>
  <c r="F2" i="2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<sst xmlns="http://schemas.openxmlformats.org/spreadsheetml/2006/main" count="196" uniqueCount="43">
  <si>
    <t>INCOME BANDS</t>
  </si>
  <si>
    <t>100K-150K</t>
  </si>
  <si>
    <t>150K-300K</t>
  </si>
  <si>
    <t>300K-500K</t>
  </si>
  <si>
    <t>600K-1M</t>
  </si>
  <si>
    <t>2M-5M</t>
  </si>
  <si>
    <t>AVERAGE INCOME</t>
  </si>
  <si>
    <t>&lt;30K</t>
  </si>
  <si>
    <t>50K-100K</t>
  </si>
  <si>
    <t>8M&gt;</t>
  </si>
  <si>
    <t>2BD APT</t>
  </si>
  <si>
    <t>3BD APT</t>
  </si>
  <si>
    <t>4BD DET DPLX</t>
  </si>
  <si>
    <t>4BD TERR. DPLX</t>
  </si>
  <si>
    <t>The 300-500k income band is the base convenient income to afford the rental prices for the 4 bedroom detached or terrace duplexes in Ikorodu by the end of 2023.</t>
  </si>
  <si>
    <t>the 150-300k income band is the base convenient income to afford the rental prices for 2-3 bedroom in Ikorodu by the end of 2023.</t>
  </si>
  <si>
    <t>the 600-2M income band is the base convenient income to afford the rental prices for 2-3 bedroom in Apapa by the end of 2023.</t>
  </si>
  <si>
    <t>The 2-5M income band is the base convenient income to afford the rental prices for the 4 bedroom detached or terrace duplexes in Apapa by the end of 2023.</t>
  </si>
  <si>
    <t>the 600-2M income band is the base convenient income to afford the rental prices for 2-3 bedroom in Ogudu/Magodo by the end of 2023.</t>
  </si>
  <si>
    <t>The 2-5M income band is the base convenient income to afford the rental prices for the 4 bedroom detached or terrace duplexes in Ogudu/Magodo by the end of 2023.</t>
  </si>
  <si>
    <t>the 2M-5M income band is the base convenient income to afford the rental prices for 2-3 bedroom in Ikeja/Maryland by the end of 2023.</t>
  </si>
  <si>
    <t>The 2-5M income band is the base convenient income to afford the rental prices for the 4 bedroom detached or terrace duplexes in Ikeja/Maryland by the end of 2023.</t>
  </si>
  <si>
    <t>the 600-1M income band is the base convenient income to afford the rental prices for 2-3 bedroom in Amuwo/Festac by the end of 2023.</t>
  </si>
  <si>
    <t>The 2-5M income band is the base convenient income to afford the rental prices for the 4 bedroom detached or terrace duplexes in Amuwo/Festac by the end of 2023.</t>
  </si>
  <si>
    <t>the 600-1M income band is the base convenient income to afford the rental prices for 2-3 bedroom in Surulere/Yaba by the end of 2023.</t>
  </si>
  <si>
    <t>The 2-5M income band is the base convenient income to afford the rental prices for the 4 bedroom detached or terrace duplexes in Surulere/Yaba by the end of 2023.</t>
  </si>
  <si>
    <t>AXIS</t>
  </si>
  <si>
    <t>SYIG/AIF</t>
  </si>
  <si>
    <t>IGM/OM/APAPA</t>
  </si>
  <si>
    <t>IKD</t>
  </si>
  <si>
    <t>the 2-8M income band is the base convenient income to afford the rental prices for 2-3 bedroom in Lagos Island/South Ikoyi by the end of 2023.</t>
  </si>
  <si>
    <t>The 8M&gt; income band is the base convenient income to afford the rental prices for the 4 bedroom detached or terrace duplexes in Lagos Island/South Ikoyi by the end of 2023.</t>
  </si>
  <si>
    <t>the 2-5M income band is the base convenient income to afford the rental prices for 2-3 bedroom in VI/Oniru by the end of 2023.</t>
  </si>
  <si>
    <t>The 8M&gt; income band is the base convenient income to afford the rental prices for the 4 bedroom detached or terrace duplexes in VI./Oniru by the end of 2023.</t>
  </si>
  <si>
    <t>the 2-5M income band is the base convenient income to afford the rental prices for 2-3 bedroom inLekki/Chevron by the end of 2023.</t>
  </si>
  <si>
    <t>The 2-5M income band is the base convenient income to afford the rental prices for the 4 bedroom detached or terrace duplexes in Lekki/Chevron by the end of 2023.</t>
  </si>
  <si>
    <t>the 600-1M income band is the base convenient income to afford the rental prices for 2-3 bedroom in Ajah/Lakowe by the end of 2023.</t>
  </si>
  <si>
    <t>The 2-5M income band is the base convenient income to afford the rental prices for the 4 bedroom detached or terrace duplexes in Ajah/Lakowe by the end of 2023.</t>
  </si>
  <si>
    <t>VO/LOC</t>
  </si>
  <si>
    <t>ASL</t>
  </si>
  <si>
    <t>LIS</t>
  </si>
  <si>
    <t>Below 30K</t>
  </si>
  <si>
    <t>8M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</si>
</sst>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70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A694-D3FA-4FF1-A6B6-BB040E22C1E2}">
  <dimension ref="C1:H13"/>
  <sheetViews>
    <sheetView workbookViewId="0">
      <selection activeCell="E1" sqref="E1:H1"/>
    </sheetView>
  </sheetViews>
  <sheetFormatPr defaultRowHeight="15" x14ac:dyDescent="0.25"/>
  <cols>
    <col min="3" max="3" width="18.85546875" customWidth="1"/>
    <col min="4" max="4" width="13.42578125" customWidth="1"/>
    <col min="7" max="7" width="13.140625" bestFit="1" customWidth="1"/>
    <col min="8" max="8" width="14.7109375" bestFit="1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183333/D2</f>
        <v>6.1111000000000004</v>
      </c>
      <c r="F2" s="2">
        <f>208333/D2</f>
        <v>6.9444333333333335</v>
      </c>
      <c r="G2" s="2">
        <f>625000/D2</f>
        <v>20.833333333333332</v>
      </c>
      <c r="H2" s="2">
        <f>541666/D2</f>
        <v>18.055533333333333</v>
      </c>
    </row>
    <row r="3" spans="3:8" x14ac:dyDescent="0.25">
      <c r="C3" t="s">
        <v>8</v>
      </c>
      <c r="D3" s="3">
        <v>75000</v>
      </c>
      <c r="E3" s="2">
        <f t="shared" ref="E3:E9" si="0">183333/D3</f>
        <v>2.4444400000000002</v>
      </c>
      <c r="F3" s="2">
        <f t="shared" ref="F3:F9" si="1">208333/D3</f>
        <v>2.7777733333333332</v>
      </c>
      <c r="G3" s="2">
        <f t="shared" ref="G3:G9" si="2">625000/D3</f>
        <v>8.3333333333333339</v>
      </c>
      <c r="H3" s="2">
        <f t="shared" ref="H3:H9" si="3">541666/D3</f>
        <v>7.2222133333333334</v>
      </c>
    </row>
    <row r="4" spans="3:8" x14ac:dyDescent="0.25">
      <c r="C4" t="s">
        <v>1</v>
      </c>
      <c r="D4" s="3">
        <v>125000</v>
      </c>
      <c r="E4" s="2">
        <f t="shared" si="0"/>
        <v>1.466664</v>
      </c>
      <c r="F4" s="2">
        <f t="shared" si="1"/>
        <v>1.6666639999999999</v>
      </c>
      <c r="G4" s="2">
        <f t="shared" si="2"/>
        <v>5</v>
      </c>
      <c r="H4" s="2">
        <f t="shared" si="3"/>
        <v>4.3333279999999998</v>
      </c>
    </row>
    <row r="5" spans="3:8" x14ac:dyDescent="0.25">
      <c r="C5" t="s">
        <v>2</v>
      </c>
      <c r="D5" s="3">
        <v>225000</v>
      </c>
      <c r="E5" s="2">
        <f t="shared" si="0"/>
        <v>0.81481333333333328</v>
      </c>
      <c r="F5" s="2">
        <f t="shared" si="1"/>
        <v>0.92592444444444444</v>
      </c>
      <c r="G5" s="2">
        <f t="shared" si="2"/>
        <v>2.7777777777777777</v>
      </c>
      <c r="H5" s="2">
        <f t="shared" si="3"/>
        <v>2.4074044444444445</v>
      </c>
    </row>
    <row r="6" spans="3:8" x14ac:dyDescent="0.25">
      <c r="C6" t="s">
        <v>3</v>
      </c>
      <c r="D6" s="3">
        <v>400000</v>
      </c>
      <c r="E6" s="2">
        <f t="shared" si="0"/>
        <v>0.45833249999999998</v>
      </c>
      <c r="F6" s="2">
        <f t="shared" si="1"/>
        <v>0.52083250000000003</v>
      </c>
      <c r="G6" s="2">
        <f t="shared" si="2"/>
        <v>1.5625</v>
      </c>
      <c r="H6" s="2">
        <f t="shared" si="3"/>
        <v>1.3541650000000001</v>
      </c>
    </row>
    <row r="7" spans="3:8" x14ac:dyDescent="0.25">
      <c r="C7" t="s">
        <v>4</v>
      </c>
      <c r="D7" s="3">
        <v>800000</v>
      </c>
      <c r="E7" s="2">
        <f t="shared" si="0"/>
        <v>0.22916624999999999</v>
      </c>
      <c r="F7" s="2">
        <f t="shared" si="1"/>
        <v>0.26041625000000002</v>
      </c>
      <c r="G7" s="2">
        <f t="shared" si="2"/>
        <v>0.78125</v>
      </c>
      <c r="H7" s="2">
        <f t="shared" si="3"/>
        <v>0.67708250000000003</v>
      </c>
    </row>
    <row r="8" spans="3:8" x14ac:dyDescent="0.25">
      <c r="C8" t="s">
        <v>5</v>
      </c>
      <c r="D8" s="3">
        <v>3500000</v>
      </c>
      <c r="E8" s="2">
        <f t="shared" si="0"/>
        <v>5.2380857142857146E-2</v>
      </c>
      <c r="F8" s="2">
        <f t="shared" si="1"/>
        <v>5.9523714285714284E-2</v>
      </c>
      <c r="G8" s="2">
        <f t="shared" si="2"/>
        <v>0.17857142857142858</v>
      </c>
      <c r="H8" s="2">
        <f t="shared" si="3"/>
        <v>0.15476171428571428</v>
      </c>
    </row>
    <row r="9" spans="3:8" x14ac:dyDescent="0.25">
      <c r="C9" t="s">
        <v>9</v>
      </c>
      <c r="D9" s="3">
        <v>4000000</v>
      </c>
      <c r="E9" s="2">
        <f t="shared" si="0"/>
        <v>4.5833249999999999E-2</v>
      </c>
      <c r="F9" s="2">
        <f t="shared" si="1"/>
        <v>5.2083249999999998E-2</v>
      </c>
      <c r="G9" s="2">
        <f t="shared" si="2"/>
        <v>0.15625</v>
      </c>
      <c r="H9" s="2">
        <f t="shared" si="3"/>
        <v>0.1354165</v>
      </c>
    </row>
    <row r="12" spans="3:8" x14ac:dyDescent="0.25">
      <c r="C12" t="s">
        <v>24</v>
      </c>
    </row>
    <row r="13" spans="3:8" x14ac:dyDescent="0.25">
      <c r="C1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29D0-D740-4B9C-8C43-AE95A10E96BA}">
  <dimension ref="C1:H13"/>
  <sheetViews>
    <sheetView workbookViewId="0">
      <selection activeCell="C12" sqref="C12:C13"/>
    </sheetView>
  </sheetViews>
  <sheetFormatPr defaultRowHeight="15" x14ac:dyDescent="0.25"/>
  <cols>
    <col min="4" max="4" width="17.28515625" bestFit="1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625000/D2</f>
        <v>20.833333333333332</v>
      </c>
      <c r="F2" s="2">
        <f>1000000/D2</f>
        <v>33.333333333333336</v>
      </c>
      <c r="G2" s="2">
        <f>1541666/D2</f>
        <v>51.388866666666665</v>
      </c>
      <c r="H2" s="2">
        <f>1333333/D2</f>
        <v>44.444433333333336</v>
      </c>
    </row>
    <row r="3" spans="3:8" x14ac:dyDescent="0.25">
      <c r="C3" t="s">
        <v>8</v>
      </c>
      <c r="D3" s="3">
        <v>75000</v>
      </c>
      <c r="E3" s="2">
        <f t="shared" ref="E3:E9" si="0">625000/D3</f>
        <v>8.3333333333333339</v>
      </c>
      <c r="F3" s="2">
        <f t="shared" ref="F3:F9" si="1">1000000/D3</f>
        <v>13.333333333333334</v>
      </c>
      <c r="G3" s="2">
        <f t="shared" ref="G3:G9" si="2">1541666/D3</f>
        <v>20.555546666666668</v>
      </c>
      <c r="H3" s="2">
        <f t="shared" ref="H3:H9" si="3">1333333/D3</f>
        <v>17.777773333333332</v>
      </c>
    </row>
    <row r="4" spans="3:8" x14ac:dyDescent="0.25">
      <c r="C4" t="s">
        <v>1</v>
      </c>
      <c r="D4" s="3">
        <v>125000</v>
      </c>
      <c r="E4" s="2">
        <f t="shared" si="0"/>
        <v>5</v>
      </c>
      <c r="F4" s="2">
        <f t="shared" si="1"/>
        <v>8</v>
      </c>
      <c r="G4" s="2">
        <f t="shared" si="2"/>
        <v>12.333328</v>
      </c>
      <c r="H4" s="2">
        <f t="shared" si="3"/>
        <v>10.666664000000001</v>
      </c>
    </row>
    <row r="5" spans="3:8" x14ac:dyDescent="0.25">
      <c r="C5" t="s">
        <v>2</v>
      </c>
      <c r="D5" s="3">
        <v>225000</v>
      </c>
      <c r="E5" s="2">
        <f t="shared" si="0"/>
        <v>2.7777777777777777</v>
      </c>
      <c r="F5" s="2">
        <f t="shared" si="1"/>
        <v>4.4444444444444446</v>
      </c>
      <c r="G5" s="2">
        <f t="shared" si="2"/>
        <v>6.8518488888888891</v>
      </c>
      <c r="H5" s="2">
        <f t="shared" si="3"/>
        <v>5.9259244444444441</v>
      </c>
    </row>
    <row r="6" spans="3:8" x14ac:dyDescent="0.25">
      <c r="C6" t="s">
        <v>3</v>
      </c>
      <c r="D6" s="3">
        <v>400000</v>
      </c>
      <c r="E6" s="2">
        <f t="shared" si="0"/>
        <v>1.5625</v>
      </c>
      <c r="F6" s="2">
        <f t="shared" si="1"/>
        <v>2.5</v>
      </c>
      <c r="G6" s="2">
        <f t="shared" si="2"/>
        <v>3.8541650000000001</v>
      </c>
      <c r="H6" s="2">
        <f t="shared" si="3"/>
        <v>3.3333325</v>
      </c>
    </row>
    <row r="7" spans="3:8" x14ac:dyDescent="0.25">
      <c r="C7" t="s">
        <v>4</v>
      </c>
      <c r="D7" s="3">
        <v>800000</v>
      </c>
      <c r="E7" s="2">
        <f t="shared" si="0"/>
        <v>0.78125</v>
      </c>
      <c r="F7" s="2">
        <f t="shared" si="1"/>
        <v>1.25</v>
      </c>
      <c r="G7" s="2">
        <f t="shared" si="2"/>
        <v>1.9270825</v>
      </c>
      <c r="H7" s="2">
        <f t="shared" si="3"/>
        <v>1.66666625</v>
      </c>
    </row>
    <row r="8" spans="3:8" x14ac:dyDescent="0.25">
      <c r="C8" t="s">
        <v>5</v>
      </c>
      <c r="D8" s="3">
        <v>3500000</v>
      </c>
      <c r="E8" s="2">
        <f t="shared" si="0"/>
        <v>0.17857142857142858</v>
      </c>
      <c r="F8" s="2">
        <f t="shared" si="1"/>
        <v>0.2857142857142857</v>
      </c>
      <c r="G8" s="2">
        <f t="shared" si="2"/>
        <v>0.44047599999999998</v>
      </c>
      <c r="H8" s="2">
        <f t="shared" si="3"/>
        <v>0.38095228571428569</v>
      </c>
    </row>
    <row r="9" spans="3:8" x14ac:dyDescent="0.25">
      <c r="C9" t="s">
        <v>9</v>
      </c>
      <c r="D9" s="3">
        <v>4000000</v>
      </c>
      <c r="E9" s="2">
        <f t="shared" si="0"/>
        <v>0.15625</v>
      </c>
      <c r="F9" s="2">
        <f t="shared" si="1"/>
        <v>0.25</v>
      </c>
      <c r="G9" s="2">
        <f t="shared" si="2"/>
        <v>0.3854165</v>
      </c>
      <c r="H9" s="2">
        <f t="shared" si="3"/>
        <v>0.33333325000000003</v>
      </c>
    </row>
    <row r="12" spans="3:8" x14ac:dyDescent="0.25">
      <c r="C12" t="s">
        <v>32</v>
      </c>
    </row>
    <row r="13" spans="3:8" x14ac:dyDescent="0.25">
      <c r="C1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86CA-5654-464B-9EB8-97949A23BFD9}">
  <dimension ref="C1:H13"/>
  <sheetViews>
    <sheetView workbookViewId="0">
      <selection activeCell="C12" sqref="C12:C13"/>
    </sheetView>
  </sheetViews>
  <sheetFormatPr defaultRowHeight="15" x14ac:dyDescent="0.25"/>
  <cols>
    <col min="4" max="4" width="17.28515625" bestFit="1" customWidth="1"/>
    <col min="7" max="7" width="13.140625" bestFit="1" customWidth="1"/>
    <col min="8" max="8" width="14.7109375" bestFit="1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275000/D2</f>
        <v>9.1666666666666661</v>
      </c>
      <c r="F2" s="2">
        <f>375000/D2</f>
        <v>12.5</v>
      </c>
      <c r="G2" s="2">
        <f>500000/D2</f>
        <v>16.666666666666668</v>
      </c>
      <c r="H2" s="2">
        <f>458333/D2</f>
        <v>15.277766666666666</v>
      </c>
    </row>
    <row r="3" spans="3:8" x14ac:dyDescent="0.25">
      <c r="C3" t="s">
        <v>8</v>
      </c>
      <c r="D3" s="3">
        <v>75000</v>
      </c>
      <c r="E3" s="2">
        <f t="shared" ref="E3:E9" si="0">275000/D3</f>
        <v>3.6666666666666665</v>
      </c>
      <c r="F3" s="2">
        <f t="shared" ref="F3:F9" si="1">375000/D3</f>
        <v>5</v>
      </c>
      <c r="G3" s="2">
        <f t="shared" ref="G3:G9" si="2">500000/D3</f>
        <v>6.666666666666667</v>
      </c>
      <c r="H3" s="2">
        <f t="shared" ref="H3:H9" si="3">458333/D3</f>
        <v>6.1111066666666662</v>
      </c>
    </row>
    <row r="4" spans="3:8" x14ac:dyDescent="0.25">
      <c r="C4" t="s">
        <v>1</v>
      </c>
      <c r="D4" s="3">
        <v>125000</v>
      </c>
      <c r="E4" s="2">
        <f t="shared" si="0"/>
        <v>2.2000000000000002</v>
      </c>
      <c r="F4" s="2">
        <f t="shared" si="1"/>
        <v>3</v>
      </c>
      <c r="G4" s="2">
        <f t="shared" si="2"/>
        <v>4</v>
      </c>
      <c r="H4" s="2">
        <f t="shared" si="3"/>
        <v>3.6666639999999999</v>
      </c>
    </row>
    <row r="5" spans="3:8" x14ac:dyDescent="0.25">
      <c r="C5" t="s">
        <v>2</v>
      </c>
      <c r="D5" s="3">
        <v>225000</v>
      </c>
      <c r="E5" s="2">
        <f t="shared" si="0"/>
        <v>1.2222222222222223</v>
      </c>
      <c r="F5" s="2">
        <f t="shared" si="1"/>
        <v>1.6666666666666667</v>
      </c>
      <c r="G5" s="2">
        <f t="shared" si="2"/>
        <v>2.2222222222222223</v>
      </c>
      <c r="H5" s="2">
        <f t="shared" si="3"/>
        <v>2.0370355555555557</v>
      </c>
    </row>
    <row r="6" spans="3:8" x14ac:dyDescent="0.25">
      <c r="C6" t="s">
        <v>3</v>
      </c>
      <c r="D6" s="3">
        <v>400000</v>
      </c>
      <c r="E6" s="2">
        <f t="shared" si="0"/>
        <v>0.6875</v>
      </c>
      <c r="F6" s="2">
        <f t="shared" si="1"/>
        <v>0.9375</v>
      </c>
      <c r="G6" s="2">
        <f t="shared" si="2"/>
        <v>1.25</v>
      </c>
      <c r="H6" s="2">
        <f t="shared" si="3"/>
        <v>1.1458325</v>
      </c>
    </row>
    <row r="7" spans="3:8" x14ac:dyDescent="0.25">
      <c r="C7" t="s">
        <v>4</v>
      </c>
      <c r="D7" s="3">
        <v>800000</v>
      </c>
      <c r="E7" s="2">
        <f t="shared" si="0"/>
        <v>0.34375</v>
      </c>
      <c r="F7" s="2">
        <f t="shared" si="1"/>
        <v>0.46875</v>
      </c>
      <c r="G7" s="2">
        <f t="shared" si="2"/>
        <v>0.625</v>
      </c>
      <c r="H7" s="2">
        <f t="shared" si="3"/>
        <v>0.57291625000000002</v>
      </c>
    </row>
    <row r="8" spans="3:8" x14ac:dyDescent="0.25">
      <c r="C8" t="s">
        <v>5</v>
      </c>
      <c r="D8" s="3">
        <v>3500000</v>
      </c>
      <c r="E8" s="2">
        <f t="shared" si="0"/>
        <v>7.857142857142857E-2</v>
      </c>
      <c r="F8" s="2">
        <f t="shared" si="1"/>
        <v>0.10714285714285714</v>
      </c>
      <c r="G8" s="2">
        <f t="shared" si="2"/>
        <v>0.14285714285714285</v>
      </c>
      <c r="H8" s="2">
        <f t="shared" si="3"/>
        <v>0.13095228571428572</v>
      </c>
    </row>
    <row r="9" spans="3:8" x14ac:dyDescent="0.25">
      <c r="C9" t="s">
        <v>9</v>
      </c>
      <c r="D9" s="3">
        <v>4000000</v>
      </c>
      <c r="E9" s="2">
        <f t="shared" si="0"/>
        <v>6.8750000000000006E-2</v>
      </c>
      <c r="F9" s="2">
        <f t="shared" si="1"/>
        <v>9.375E-2</v>
      </c>
      <c r="G9" s="2">
        <f t="shared" si="2"/>
        <v>0.125</v>
      </c>
      <c r="H9" s="2">
        <f t="shared" si="3"/>
        <v>0.11458325</v>
      </c>
    </row>
    <row r="12" spans="3:8" x14ac:dyDescent="0.25">
      <c r="C12" t="s">
        <v>34</v>
      </c>
    </row>
    <row r="13" spans="3:8" x14ac:dyDescent="0.25">
      <c r="C13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CAD6-DFFF-466D-8382-E44BF7D6DB4A}">
  <dimension ref="C1:H13"/>
  <sheetViews>
    <sheetView workbookViewId="0">
      <selection activeCell="C14" sqref="C14"/>
    </sheetView>
  </sheetViews>
  <sheetFormatPr defaultRowHeight="15" x14ac:dyDescent="0.25"/>
  <cols>
    <col min="4" max="4" width="15.28515625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175000/D2</f>
        <v>5.833333333333333</v>
      </c>
      <c r="F2" s="2">
        <f>208333/D2</f>
        <v>6.9444333333333335</v>
      </c>
      <c r="G2" s="2">
        <f>333333/D2</f>
        <v>11.1111</v>
      </c>
      <c r="H2" s="2">
        <f>316666/D2</f>
        <v>10.555533333333333</v>
      </c>
    </row>
    <row r="3" spans="3:8" x14ac:dyDescent="0.25">
      <c r="C3" t="s">
        <v>8</v>
      </c>
      <c r="D3" s="3">
        <v>75000</v>
      </c>
      <c r="E3" s="2">
        <f t="shared" ref="E3:E9" si="0">175000/D3</f>
        <v>2.3333333333333335</v>
      </c>
      <c r="F3" s="2">
        <f t="shared" ref="F3:F9" si="1">208333/D3</f>
        <v>2.7777733333333332</v>
      </c>
      <c r="G3" s="2">
        <f t="shared" ref="G3:G9" si="2">333333/D3</f>
        <v>4.4444400000000002</v>
      </c>
      <c r="H3" s="2">
        <f t="shared" ref="H3:H9" si="3">316666/D3</f>
        <v>4.2222133333333334</v>
      </c>
    </row>
    <row r="4" spans="3:8" x14ac:dyDescent="0.25">
      <c r="C4" t="s">
        <v>1</v>
      </c>
      <c r="D4" s="3">
        <v>125000</v>
      </c>
      <c r="E4" s="2">
        <f t="shared" si="0"/>
        <v>1.4</v>
      </c>
      <c r="F4" s="2">
        <f t="shared" si="1"/>
        <v>1.6666639999999999</v>
      </c>
      <c r="G4" s="2">
        <f t="shared" si="2"/>
        <v>2.6666639999999999</v>
      </c>
      <c r="H4" s="2">
        <f t="shared" si="3"/>
        <v>2.533328</v>
      </c>
    </row>
    <row r="5" spans="3:8" x14ac:dyDescent="0.25">
      <c r="C5" t="s">
        <v>2</v>
      </c>
      <c r="D5" s="3">
        <v>225000</v>
      </c>
      <c r="E5" s="2">
        <f t="shared" si="0"/>
        <v>0.77777777777777779</v>
      </c>
      <c r="F5" s="2">
        <f t="shared" si="1"/>
        <v>0.92592444444444444</v>
      </c>
      <c r="G5" s="2">
        <f t="shared" si="2"/>
        <v>1.4814799999999999</v>
      </c>
      <c r="H5" s="2">
        <f t="shared" si="3"/>
        <v>1.4074044444444445</v>
      </c>
    </row>
    <row r="6" spans="3:8" x14ac:dyDescent="0.25">
      <c r="C6" t="s">
        <v>3</v>
      </c>
      <c r="D6" s="3">
        <v>400000</v>
      </c>
      <c r="E6" s="2">
        <f t="shared" si="0"/>
        <v>0.4375</v>
      </c>
      <c r="F6" s="2">
        <f t="shared" si="1"/>
        <v>0.52083250000000003</v>
      </c>
      <c r="G6" s="2">
        <f t="shared" si="2"/>
        <v>0.83333250000000003</v>
      </c>
      <c r="H6" s="2">
        <f t="shared" si="3"/>
        <v>0.79166499999999995</v>
      </c>
    </row>
    <row r="7" spans="3:8" x14ac:dyDescent="0.25">
      <c r="C7" t="s">
        <v>4</v>
      </c>
      <c r="D7" s="3">
        <v>800000</v>
      </c>
      <c r="E7" s="2">
        <f t="shared" si="0"/>
        <v>0.21875</v>
      </c>
      <c r="F7" s="2">
        <f t="shared" si="1"/>
        <v>0.26041625000000002</v>
      </c>
      <c r="G7" s="2">
        <f t="shared" si="2"/>
        <v>0.41666625000000002</v>
      </c>
      <c r="H7" s="2">
        <f t="shared" si="3"/>
        <v>0.39583249999999998</v>
      </c>
    </row>
    <row r="8" spans="3:8" x14ac:dyDescent="0.25">
      <c r="C8" t="s">
        <v>5</v>
      </c>
      <c r="D8" s="3">
        <v>3500000</v>
      </c>
      <c r="E8" s="2">
        <f t="shared" si="0"/>
        <v>0.05</v>
      </c>
      <c r="F8" s="2">
        <f t="shared" si="1"/>
        <v>5.9523714285714284E-2</v>
      </c>
      <c r="G8" s="2">
        <f t="shared" si="2"/>
        <v>9.5238000000000003E-2</v>
      </c>
      <c r="H8" s="2">
        <f t="shared" si="3"/>
        <v>9.0476000000000001E-2</v>
      </c>
    </row>
    <row r="9" spans="3:8" x14ac:dyDescent="0.25">
      <c r="C9" t="s">
        <v>9</v>
      </c>
      <c r="D9" s="3">
        <v>4000000</v>
      </c>
      <c r="E9" s="2">
        <f t="shared" si="0"/>
        <v>4.3749999999999997E-2</v>
      </c>
      <c r="F9" s="2">
        <f t="shared" si="1"/>
        <v>5.2083249999999998E-2</v>
      </c>
      <c r="G9" s="2">
        <f t="shared" si="2"/>
        <v>8.3333249999999998E-2</v>
      </c>
      <c r="H9" s="2">
        <f t="shared" si="3"/>
        <v>7.9166500000000001E-2</v>
      </c>
    </row>
    <row r="12" spans="3:8" x14ac:dyDescent="0.25">
      <c r="C12" t="s">
        <v>36</v>
      </c>
    </row>
    <row r="13" spans="3:8" x14ac:dyDescent="0.25">
      <c r="C13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3C93-BB0F-4871-A235-01F7A96384A1}">
  <dimension ref="C1:I9"/>
  <sheetViews>
    <sheetView workbookViewId="0">
      <selection activeCell="C10" sqref="C10"/>
    </sheetView>
  </sheetViews>
  <sheetFormatPr defaultRowHeight="15" x14ac:dyDescent="0.25"/>
  <cols>
    <col min="4" max="4" width="17.28515625" bestFit="1" customWidth="1"/>
    <col min="5" max="5" width="15.7109375" bestFit="1" customWidth="1"/>
  </cols>
  <sheetData>
    <row r="1" spans="3:9" x14ac:dyDescent="0.25">
      <c r="C1" t="s">
        <v>0</v>
      </c>
      <c r="D1" t="s">
        <v>6</v>
      </c>
      <c r="E1" t="s">
        <v>26</v>
      </c>
      <c r="F1" t="s">
        <v>10</v>
      </c>
      <c r="G1" t="s">
        <v>11</v>
      </c>
      <c r="H1" t="s">
        <v>12</v>
      </c>
      <c r="I1" t="s">
        <v>13</v>
      </c>
    </row>
    <row r="2" spans="3:9" x14ac:dyDescent="0.25">
      <c r="C2" t="s">
        <v>41</v>
      </c>
      <c r="D2" s="3">
        <v>30000</v>
      </c>
    </row>
    <row r="3" spans="3:9" x14ac:dyDescent="0.25">
      <c r="C3" t="s">
        <v>8</v>
      </c>
      <c r="D3" s="3">
        <v>75000</v>
      </c>
    </row>
    <row r="4" spans="3:9" x14ac:dyDescent="0.25">
      <c r="C4" t="s">
        <v>1</v>
      </c>
      <c r="D4" s="3">
        <v>125000</v>
      </c>
    </row>
    <row r="5" spans="3:9" x14ac:dyDescent="0.25">
      <c r="C5" t="s">
        <v>2</v>
      </c>
      <c r="D5" s="3">
        <v>225000</v>
      </c>
      <c r="F5" s="1"/>
      <c r="G5" s="1"/>
      <c r="H5" s="1"/>
      <c r="I5" s="1"/>
    </row>
    <row r="6" spans="3:9" x14ac:dyDescent="0.25">
      <c r="C6" t="s">
        <v>3</v>
      </c>
      <c r="D6" s="3">
        <v>400000</v>
      </c>
    </row>
    <row r="7" spans="3:9" x14ac:dyDescent="0.25">
      <c r="C7" t="s">
        <v>4</v>
      </c>
      <c r="D7" s="3">
        <v>800000</v>
      </c>
      <c r="E7" t="s">
        <v>39</v>
      </c>
      <c r="F7" s="1">
        <v>0.22</v>
      </c>
      <c r="G7" s="1">
        <v>0.26</v>
      </c>
      <c r="H7" s="1">
        <v>0.1</v>
      </c>
      <c r="I7" s="1">
        <v>0.09</v>
      </c>
    </row>
    <row r="8" spans="3:9" x14ac:dyDescent="0.25">
      <c r="C8" t="s">
        <v>5</v>
      </c>
      <c r="D8" s="3">
        <v>3500000</v>
      </c>
      <c r="E8" t="s">
        <v>38</v>
      </c>
      <c r="F8" s="1">
        <v>0.1</v>
      </c>
      <c r="G8" s="1">
        <v>0.2</v>
      </c>
      <c r="H8" s="1">
        <v>0.14000000000000001</v>
      </c>
      <c r="I8" s="1">
        <v>0.13</v>
      </c>
    </row>
    <row r="9" spans="3:9" x14ac:dyDescent="0.25">
      <c r="C9" t="s">
        <v>42</v>
      </c>
      <c r="D9" s="3">
        <v>4000000</v>
      </c>
      <c r="E9" t="s">
        <v>40</v>
      </c>
      <c r="F9" s="1">
        <v>0.17</v>
      </c>
      <c r="G9" s="1"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117B-9147-49DC-AB02-4F3135615CEC}">
  <dimension ref="C1:H13"/>
  <sheetViews>
    <sheetView workbookViewId="0">
      <selection activeCell="C12" sqref="C12:C13"/>
    </sheetView>
  </sheetViews>
  <sheetFormatPr defaultRowHeight="15" x14ac:dyDescent="0.25"/>
  <cols>
    <col min="4" max="4" width="13.140625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166666/D2</f>
        <v>5.555533333333333</v>
      </c>
      <c r="F2" s="2">
        <f>208333/D2</f>
        <v>6.9444333333333335</v>
      </c>
      <c r="G2" s="2">
        <f>333333/D2</f>
        <v>11.1111</v>
      </c>
      <c r="H2" s="2">
        <f>266666/D2</f>
        <v>8.8888666666666669</v>
      </c>
    </row>
    <row r="3" spans="3:8" x14ac:dyDescent="0.25">
      <c r="C3" t="s">
        <v>8</v>
      </c>
      <c r="D3" s="3">
        <v>75000</v>
      </c>
      <c r="E3" s="2">
        <f t="shared" ref="E3:E9" si="0">166666/D3</f>
        <v>2.2222133333333334</v>
      </c>
      <c r="F3" s="2">
        <f t="shared" ref="F3:F9" si="1">208333/D3</f>
        <v>2.7777733333333332</v>
      </c>
      <c r="G3" s="2">
        <f t="shared" ref="G3:G9" si="2">333333/D3</f>
        <v>4.4444400000000002</v>
      </c>
      <c r="H3" s="2">
        <f t="shared" ref="H3:H9" si="3">266666/D3</f>
        <v>3.5555466666666669</v>
      </c>
    </row>
    <row r="4" spans="3:8" x14ac:dyDescent="0.25">
      <c r="C4" t="s">
        <v>1</v>
      </c>
      <c r="D4" s="3">
        <v>125000</v>
      </c>
      <c r="E4" s="2">
        <f t="shared" si="0"/>
        <v>1.3333280000000001</v>
      </c>
      <c r="F4" s="2">
        <f t="shared" si="1"/>
        <v>1.6666639999999999</v>
      </c>
      <c r="G4" s="2">
        <f t="shared" si="2"/>
        <v>2.6666639999999999</v>
      </c>
      <c r="H4" s="2">
        <f t="shared" si="3"/>
        <v>2.1333280000000001</v>
      </c>
    </row>
    <row r="5" spans="3:8" x14ac:dyDescent="0.25">
      <c r="C5" t="s">
        <v>2</v>
      </c>
      <c r="D5" s="3">
        <v>225000</v>
      </c>
      <c r="E5" s="2">
        <f t="shared" si="0"/>
        <v>0.74073777777777783</v>
      </c>
      <c r="F5" s="2">
        <f t="shared" si="1"/>
        <v>0.92592444444444444</v>
      </c>
      <c r="G5" s="2">
        <f t="shared" si="2"/>
        <v>1.4814799999999999</v>
      </c>
      <c r="H5" s="2">
        <f t="shared" si="3"/>
        <v>1.1851822222222221</v>
      </c>
    </row>
    <row r="6" spans="3:8" x14ac:dyDescent="0.25">
      <c r="C6" t="s">
        <v>3</v>
      </c>
      <c r="D6" s="3">
        <v>400000</v>
      </c>
      <c r="E6" s="2">
        <f t="shared" si="0"/>
        <v>0.41666500000000001</v>
      </c>
      <c r="F6" s="2">
        <f t="shared" si="1"/>
        <v>0.52083250000000003</v>
      </c>
      <c r="G6" s="2">
        <f t="shared" si="2"/>
        <v>0.83333250000000003</v>
      </c>
      <c r="H6" s="2">
        <f t="shared" si="3"/>
        <v>0.66666499999999995</v>
      </c>
    </row>
    <row r="7" spans="3:8" x14ac:dyDescent="0.25">
      <c r="C7" t="s">
        <v>4</v>
      </c>
      <c r="D7" s="3">
        <v>800000</v>
      </c>
      <c r="E7" s="2">
        <f t="shared" si="0"/>
        <v>0.2083325</v>
      </c>
      <c r="F7" s="2">
        <f t="shared" si="1"/>
        <v>0.26041625000000002</v>
      </c>
      <c r="G7" s="2">
        <f t="shared" si="2"/>
        <v>0.41666625000000002</v>
      </c>
      <c r="H7" s="2">
        <f t="shared" si="3"/>
        <v>0.33333249999999998</v>
      </c>
    </row>
    <row r="8" spans="3:8" x14ac:dyDescent="0.25">
      <c r="C8" t="s">
        <v>5</v>
      </c>
      <c r="D8" s="3">
        <v>3500000</v>
      </c>
      <c r="E8" s="2">
        <f t="shared" si="0"/>
        <v>4.7618857142857143E-2</v>
      </c>
      <c r="F8" s="2">
        <f t="shared" si="1"/>
        <v>5.9523714285714284E-2</v>
      </c>
      <c r="G8" s="2">
        <f t="shared" si="2"/>
        <v>9.5238000000000003E-2</v>
      </c>
      <c r="H8" s="2">
        <f t="shared" si="3"/>
        <v>7.619028571428571E-2</v>
      </c>
    </row>
    <row r="9" spans="3:8" x14ac:dyDescent="0.25">
      <c r="C9" t="s">
        <v>9</v>
      </c>
      <c r="D9" s="3">
        <v>4000000</v>
      </c>
      <c r="E9" s="2">
        <f t="shared" si="0"/>
        <v>4.1666500000000002E-2</v>
      </c>
      <c r="F9" s="2">
        <f t="shared" si="1"/>
        <v>5.2083249999999998E-2</v>
      </c>
      <c r="G9" s="2">
        <f t="shared" si="2"/>
        <v>8.3333249999999998E-2</v>
      </c>
      <c r="H9" s="2">
        <f t="shared" si="3"/>
        <v>6.6666500000000004E-2</v>
      </c>
    </row>
    <row r="12" spans="3:8" x14ac:dyDescent="0.25">
      <c r="C12" t="s">
        <v>22</v>
      </c>
    </row>
    <row r="13" spans="3:8" x14ac:dyDescent="0.25">
      <c r="C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D1F7-6439-43B2-83A5-B7ECF5F0F115}">
  <dimension ref="C1:H13"/>
  <sheetViews>
    <sheetView workbookViewId="0">
      <selection activeCell="C12" sqref="C12:C13"/>
    </sheetView>
  </sheetViews>
  <sheetFormatPr defaultRowHeight="15" x14ac:dyDescent="0.25"/>
  <cols>
    <col min="3" max="3" width="15" bestFit="1" customWidth="1"/>
    <col min="4" max="4" width="17.28515625" bestFit="1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375000/D2</f>
        <v>12.5</v>
      </c>
      <c r="F2" s="2">
        <f>483333/D2</f>
        <v>16.1111</v>
      </c>
      <c r="G2" s="2">
        <f>625000/D2</f>
        <v>20.833333333333332</v>
      </c>
      <c r="H2" s="2">
        <f>575000/D2</f>
        <v>19.166666666666668</v>
      </c>
    </row>
    <row r="3" spans="3:8" x14ac:dyDescent="0.25">
      <c r="C3" t="s">
        <v>8</v>
      </c>
      <c r="D3" s="3">
        <v>75000</v>
      </c>
      <c r="E3" s="2">
        <f t="shared" ref="E3:E9" si="0">375000/D3</f>
        <v>5</v>
      </c>
      <c r="F3" s="2">
        <f t="shared" ref="F3:F9" si="1">483333/D3</f>
        <v>6.4444400000000002</v>
      </c>
      <c r="G3" s="2">
        <f t="shared" ref="G3:G9" si="2">625000/D3</f>
        <v>8.3333333333333339</v>
      </c>
      <c r="H3" s="2">
        <f t="shared" ref="H3:H9" si="3">575000/D3</f>
        <v>7.666666666666667</v>
      </c>
    </row>
    <row r="4" spans="3:8" x14ac:dyDescent="0.25">
      <c r="C4" t="s">
        <v>1</v>
      </c>
      <c r="D4" s="3">
        <v>125000</v>
      </c>
      <c r="E4" s="2">
        <f t="shared" si="0"/>
        <v>3</v>
      </c>
      <c r="F4" s="2">
        <f t="shared" si="1"/>
        <v>3.8666640000000001</v>
      </c>
      <c r="G4" s="2">
        <f t="shared" si="2"/>
        <v>5</v>
      </c>
      <c r="H4" s="2">
        <f t="shared" si="3"/>
        <v>4.5999999999999996</v>
      </c>
    </row>
    <row r="5" spans="3:8" x14ac:dyDescent="0.25">
      <c r="C5" t="s">
        <v>2</v>
      </c>
      <c r="D5" s="3">
        <v>225000</v>
      </c>
      <c r="E5" s="2">
        <f t="shared" si="0"/>
        <v>1.6666666666666667</v>
      </c>
      <c r="F5" s="2">
        <f t="shared" si="1"/>
        <v>2.1481466666666669</v>
      </c>
      <c r="G5" s="2">
        <f t="shared" si="2"/>
        <v>2.7777777777777777</v>
      </c>
      <c r="H5" s="2">
        <f t="shared" si="3"/>
        <v>2.5555555555555554</v>
      </c>
    </row>
    <row r="6" spans="3:8" x14ac:dyDescent="0.25">
      <c r="C6" t="s">
        <v>3</v>
      </c>
      <c r="D6" s="3">
        <v>400000</v>
      </c>
      <c r="E6" s="2">
        <f t="shared" si="0"/>
        <v>0.9375</v>
      </c>
      <c r="F6" s="2">
        <f t="shared" si="1"/>
        <v>1.2083325</v>
      </c>
      <c r="G6" s="2">
        <f t="shared" si="2"/>
        <v>1.5625</v>
      </c>
      <c r="H6" s="2">
        <f t="shared" si="3"/>
        <v>1.4375</v>
      </c>
    </row>
    <row r="7" spans="3:8" x14ac:dyDescent="0.25">
      <c r="C7" t="s">
        <v>4</v>
      </c>
      <c r="D7" s="3">
        <v>800000</v>
      </c>
      <c r="E7" s="2">
        <f t="shared" si="0"/>
        <v>0.46875</v>
      </c>
      <c r="F7" s="2">
        <f t="shared" si="1"/>
        <v>0.60416625000000002</v>
      </c>
      <c r="G7" s="2">
        <f t="shared" si="2"/>
        <v>0.78125</v>
      </c>
      <c r="H7" s="2">
        <f t="shared" si="3"/>
        <v>0.71875</v>
      </c>
    </row>
    <row r="8" spans="3:8" x14ac:dyDescent="0.25">
      <c r="C8" t="s">
        <v>5</v>
      </c>
      <c r="D8" s="3">
        <v>3500000</v>
      </c>
      <c r="E8" s="2">
        <f t="shared" si="0"/>
        <v>0.10714285714285714</v>
      </c>
      <c r="F8" s="2">
        <f t="shared" si="1"/>
        <v>0.13809514285714286</v>
      </c>
      <c r="G8" s="2">
        <f t="shared" si="2"/>
        <v>0.17857142857142858</v>
      </c>
      <c r="H8" s="2">
        <f t="shared" si="3"/>
        <v>0.16428571428571428</v>
      </c>
    </row>
    <row r="9" spans="3:8" x14ac:dyDescent="0.25">
      <c r="C9" t="s">
        <v>9</v>
      </c>
      <c r="D9" s="3">
        <v>4000000</v>
      </c>
      <c r="E9" s="2">
        <f t="shared" si="0"/>
        <v>9.375E-2</v>
      </c>
      <c r="F9" s="2">
        <f t="shared" si="1"/>
        <v>0.12083325</v>
      </c>
      <c r="G9" s="2">
        <f t="shared" si="2"/>
        <v>0.15625</v>
      </c>
      <c r="H9" s="2">
        <f t="shared" si="3"/>
        <v>0.14374999999999999</v>
      </c>
    </row>
    <row r="12" spans="3:8" x14ac:dyDescent="0.25">
      <c r="C12" t="s">
        <v>20</v>
      </c>
    </row>
    <row r="13" spans="3:8" x14ac:dyDescent="0.25">
      <c r="C1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0123-622A-475A-A4D1-B52B15232989}">
  <dimension ref="C1:H13"/>
  <sheetViews>
    <sheetView workbookViewId="0">
      <selection activeCell="C12" sqref="C12:C13"/>
    </sheetView>
  </sheetViews>
  <sheetFormatPr defaultRowHeight="15" x14ac:dyDescent="0.25"/>
  <cols>
    <col min="4" max="4" width="15.5703125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191666/D2</f>
        <v>6.3888666666666669</v>
      </c>
      <c r="F2" s="2">
        <f>250000/D2</f>
        <v>8.3333333333333339</v>
      </c>
      <c r="G2" s="2">
        <f>483333/D2</f>
        <v>16.1111</v>
      </c>
      <c r="H2" s="2">
        <f>441666/D2</f>
        <v>14.722200000000001</v>
      </c>
    </row>
    <row r="3" spans="3:8" x14ac:dyDescent="0.25">
      <c r="C3" t="s">
        <v>8</v>
      </c>
      <c r="D3" s="3">
        <v>75000</v>
      </c>
      <c r="E3" s="2">
        <f t="shared" ref="E3:E9" si="0">191666/D3</f>
        <v>2.5555466666666669</v>
      </c>
      <c r="F3" s="2">
        <f t="shared" ref="F3:F9" si="1">250000/D3</f>
        <v>3.3333333333333335</v>
      </c>
      <c r="G3" s="2">
        <f t="shared" ref="G3:G9" si="2">483333/D3</f>
        <v>6.4444400000000002</v>
      </c>
      <c r="H3" s="2">
        <f t="shared" ref="H3:H9" si="3">441666/D3</f>
        <v>5.8888800000000003</v>
      </c>
    </row>
    <row r="4" spans="3:8" x14ac:dyDescent="0.25">
      <c r="C4" t="s">
        <v>1</v>
      </c>
      <c r="D4" s="3">
        <v>125000</v>
      </c>
      <c r="E4" s="2">
        <f t="shared" si="0"/>
        <v>1.533328</v>
      </c>
      <c r="F4" s="2">
        <f t="shared" si="1"/>
        <v>2</v>
      </c>
      <c r="G4" s="2">
        <f t="shared" si="2"/>
        <v>3.8666640000000001</v>
      </c>
      <c r="H4" s="2">
        <f t="shared" si="3"/>
        <v>3.533328</v>
      </c>
    </row>
    <row r="5" spans="3:8" x14ac:dyDescent="0.25">
      <c r="C5" t="s">
        <v>2</v>
      </c>
      <c r="D5" s="3">
        <v>225000</v>
      </c>
      <c r="E5" s="2">
        <f t="shared" si="0"/>
        <v>0.85184888888888888</v>
      </c>
      <c r="F5" s="2">
        <f t="shared" si="1"/>
        <v>1.1111111111111112</v>
      </c>
      <c r="G5" s="2">
        <f t="shared" si="2"/>
        <v>2.1481466666666669</v>
      </c>
      <c r="H5" s="2">
        <f t="shared" si="3"/>
        <v>1.96296</v>
      </c>
    </row>
    <row r="6" spans="3:8" x14ac:dyDescent="0.25">
      <c r="C6" t="s">
        <v>3</v>
      </c>
      <c r="D6" s="3">
        <v>400000</v>
      </c>
      <c r="E6" s="2">
        <f t="shared" si="0"/>
        <v>0.47916500000000001</v>
      </c>
      <c r="F6" s="2">
        <f t="shared" si="1"/>
        <v>0.625</v>
      </c>
      <c r="G6" s="2">
        <f t="shared" si="2"/>
        <v>1.2083325</v>
      </c>
      <c r="H6" s="2">
        <f t="shared" si="3"/>
        <v>1.1041650000000001</v>
      </c>
    </row>
    <row r="7" spans="3:8" x14ac:dyDescent="0.25">
      <c r="C7" t="s">
        <v>4</v>
      </c>
      <c r="D7" s="3">
        <v>800000</v>
      </c>
      <c r="E7" s="2">
        <f t="shared" si="0"/>
        <v>0.2395825</v>
      </c>
      <c r="F7" s="2">
        <f t="shared" si="1"/>
        <v>0.3125</v>
      </c>
      <c r="G7" s="2">
        <f t="shared" si="2"/>
        <v>0.60416625000000002</v>
      </c>
      <c r="H7" s="2">
        <f t="shared" si="3"/>
        <v>0.55208250000000003</v>
      </c>
    </row>
    <row r="8" spans="3:8" x14ac:dyDescent="0.25">
      <c r="C8" t="s">
        <v>5</v>
      </c>
      <c r="D8" s="3">
        <v>3500000</v>
      </c>
      <c r="E8" s="2">
        <f t="shared" si="0"/>
        <v>5.4761714285714289E-2</v>
      </c>
      <c r="F8" s="2">
        <f t="shared" si="1"/>
        <v>7.1428571428571425E-2</v>
      </c>
      <c r="G8" s="2">
        <f t="shared" si="2"/>
        <v>0.13809514285714286</v>
      </c>
      <c r="H8" s="2">
        <f t="shared" si="3"/>
        <v>0.12619028571428573</v>
      </c>
    </row>
    <row r="9" spans="3:8" x14ac:dyDescent="0.25">
      <c r="C9" t="s">
        <v>9</v>
      </c>
      <c r="D9" s="3">
        <v>4000000</v>
      </c>
      <c r="E9" s="2">
        <f t="shared" si="0"/>
        <v>4.7916500000000001E-2</v>
      </c>
      <c r="F9" s="2">
        <f t="shared" si="1"/>
        <v>6.25E-2</v>
      </c>
      <c r="G9" s="2">
        <f t="shared" si="2"/>
        <v>0.12083325</v>
      </c>
      <c r="H9" s="2">
        <f t="shared" si="3"/>
        <v>0.1104165</v>
      </c>
    </row>
    <row r="12" spans="3:8" x14ac:dyDescent="0.25">
      <c r="C12" t="s">
        <v>18</v>
      </c>
    </row>
    <row r="13" spans="3:8" x14ac:dyDescent="0.25">
      <c r="C1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D27E-818E-467A-84CE-6B1C970ECF52}">
  <dimension ref="C1:H13"/>
  <sheetViews>
    <sheetView workbookViewId="0">
      <selection activeCell="C12" sqref="C12:C13"/>
    </sheetView>
  </sheetViews>
  <sheetFormatPr defaultRowHeight="15" x14ac:dyDescent="0.25"/>
  <cols>
    <col min="4" max="4" width="14.85546875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208333/D2</f>
        <v>6.9444333333333335</v>
      </c>
      <c r="F2" s="2">
        <f>291666/D2</f>
        <v>9.7222000000000008</v>
      </c>
      <c r="G2" s="2">
        <f>400000/D2</f>
        <v>13.333333333333334</v>
      </c>
      <c r="H2" s="2">
        <f>350000/D2</f>
        <v>11.666666666666666</v>
      </c>
    </row>
    <row r="3" spans="3:8" x14ac:dyDescent="0.25">
      <c r="C3" t="s">
        <v>8</v>
      </c>
      <c r="D3" s="3">
        <v>75000</v>
      </c>
      <c r="E3" s="2">
        <f t="shared" ref="E3:E9" si="0">208333/D3</f>
        <v>2.7777733333333332</v>
      </c>
      <c r="F3" s="2">
        <f t="shared" ref="F3:F9" si="1">291666/D3</f>
        <v>3.8888799999999999</v>
      </c>
      <c r="G3" s="2">
        <f t="shared" ref="G3:G9" si="2">400000/D3</f>
        <v>5.333333333333333</v>
      </c>
      <c r="H3" s="2">
        <f t="shared" ref="H3:H9" si="3">350000/D3</f>
        <v>4.666666666666667</v>
      </c>
    </row>
    <row r="4" spans="3:8" x14ac:dyDescent="0.25">
      <c r="C4" t="s">
        <v>1</v>
      </c>
      <c r="D4" s="3">
        <v>125000</v>
      </c>
      <c r="E4" s="2">
        <f t="shared" si="0"/>
        <v>1.6666639999999999</v>
      </c>
      <c r="F4" s="2">
        <f t="shared" si="1"/>
        <v>2.3333279999999998</v>
      </c>
      <c r="G4" s="2">
        <f t="shared" si="2"/>
        <v>3.2</v>
      </c>
      <c r="H4" s="2">
        <f t="shared" si="3"/>
        <v>2.8</v>
      </c>
    </row>
    <row r="5" spans="3:8" x14ac:dyDescent="0.25">
      <c r="C5" t="s">
        <v>2</v>
      </c>
      <c r="D5" s="3">
        <v>225000</v>
      </c>
      <c r="E5" s="2">
        <f t="shared" si="0"/>
        <v>0.92592444444444444</v>
      </c>
      <c r="F5" s="2">
        <f t="shared" si="1"/>
        <v>1.2962933333333333</v>
      </c>
      <c r="G5" s="2">
        <f t="shared" si="2"/>
        <v>1.7777777777777777</v>
      </c>
      <c r="H5" s="2">
        <f t="shared" si="3"/>
        <v>1.5555555555555556</v>
      </c>
    </row>
    <row r="6" spans="3:8" x14ac:dyDescent="0.25">
      <c r="C6" t="s">
        <v>3</v>
      </c>
      <c r="D6" s="3">
        <v>400000</v>
      </c>
      <c r="E6" s="2">
        <f t="shared" si="0"/>
        <v>0.52083250000000003</v>
      </c>
      <c r="F6" s="2">
        <f t="shared" si="1"/>
        <v>0.72916499999999995</v>
      </c>
      <c r="G6" s="2">
        <f t="shared" si="2"/>
        <v>1</v>
      </c>
      <c r="H6" s="2">
        <f t="shared" si="3"/>
        <v>0.875</v>
      </c>
    </row>
    <row r="7" spans="3:8" x14ac:dyDescent="0.25">
      <c r="C7" t="s">
        <v>4</v>
      </c>
      <c r="D7" s="3">
        <v>800000</v>
      </c>
      <c r="E7" s="2">
        <f t="shared" si="0"/>
        <v>0.26041625000000002</v>
      </c>
      <c r="F7" s="2">
        <f t="shared" si="1"/>
        <v>0.36458249999999998</v>
      </c>
      <c r="G7" s="2">
        <f t="shared" si="2"/>
        <v>0.5</v>
      </c>
      <c r="H7" s="2">
        <f t="shared" si="3"/>
        <v>0.4375</v>
      </c>
    </row>
    <row r="8" spans="3:8" x14ac:dyDescent="0.25">
      <c r="C8" t="s">
        <v>5</v>
      </c>
      <c r="D8" s="3">
        <v>3500000</v>
      </c>
      <c r="E8" s="2">
        <f t="shared" si="0"/>
        <v>5.9523714285714284E-2</v>
      </c>
      <c r="F8" s="2">
        <f t="shared" si="1"/>
        <v>8.3333142857142856E-2</v>
      </c>
      <c r="G8" s="2">
        <f t="shared" si="2"/>
        <v>0.11428571428571428</v>
      </c>
      <c r="H8" s="2">
        <f t="shared" si="3"/>
        <v>0.1</v>
      </c>
    </row>
    <row r="9" spans="3:8" x14ac:dyDescent="0.25">
      <c r="C9" t="s">
        <v>9</v>
      </c>
      <c r="D9" s="3">
        <v>4000000</v>
      </c>
      <c r="E9" s="2">
        <f t="shared" si="0"/>
        <v>5.2083249999999998E-2</v>
      </c>
      <c r="F9" s="2">
        <f t="shared" si="1"/>
        <v>7.2916499999999995E-2</v>
      </c>
      <c r="G9" s="2">
        <f t="shared" si="2"/>
        <v>0.1</v>
      </c>
      <c r="H9" s="2">
        <f t="shared" si="3"/>
        <v>8.7499999999999994E-2</v>
      </c>
    </row>
    <row r="12" spans="3:8" x14ac:dyDescent="0.25">
      <c r="C12" t="s">
        <v>16</v>
      </c>
    </row>
    <row r="13" spans="3:8" x14ac:dyDescent="0.25">
      <c r="C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631-62B4-444E-AC3E-5CAAE6227CEA}">
  <dimension ref="C1:H13"/>
  <sheetViews>
    <sheetView workbookViewId="0">
      <selection activeCell="C12" sqref="C12:C13"/>
    </sheetView>
  </sheetViews>
  <sheetFormatPr defaultRowHeight="15" x14ac:dyDescent="0.25"/>
  <cols>
    <col min="3" max="3" width="14.85546875" customWidth="1"/>
    <col min="4" max="4" width="17.28515625" bestFit="1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45833/D2</f>
        <v>1.5277666666666667</v>
      </c>
      <c r="F2" s="2">
        <f>62500/D2</f>
        <v>2.0833333333333335</v>
      </c>
      <c r="G2" s="2">
        <f>112500/D2</f>
        <v>3.75</v>
      </c>
      <c r="H2" s="2">
        <f>95833/D2</f>
        <v>3.1944333333333335</v>
      </c>
    </row>
    <row r="3" spans="3:8" x14ac:dyDescent="0.25">
      <c r="C3" t="s">
        <v>8</v>
      </c>
      <c r="D3" s="3">
        <v>75000</v>
      </c>
      <c r="E3" s="2">
        <f t="shared" ref="E3:E9" si="0">45833/D3</f>
        <v>0.61110666666666669</v>
      </c>
      <c r="F3" s="2">
        <f t="shared" ref="F3:F9" si="1">62500/D3</f>
        <v>0.83333333333333337</v>
      </c>
      <c r="G3" s="2">
        <f t="shared" ref="G3:G9" si="2">112500/D3</f>
        <v>1.5</v>
      </c>
      <c r="H3" s="2">
        <f t="shared" ref="H3:H9" si="3">95833/D3</f>
        <v>1.2777733333333334</v>
      </c>
    </row>
    <row r="4" spans="3:8" x14ac:dyDescent="0.25">
      <c r="C4" t="s">
        <v>1</v>
      </c>
      <c r="D4" s="3">
        <v>125000</v>
      </c>
      <c r="E4" s="2">
        <f t="shared" si="0"/>
        <v>0.36666399999999999</v>
      </c>
      <c r="F4" s="2">
        <f t="shared" si="1"/>
        <v>0.5</v>
      </c>
      <c r="G4" s="2">
        <f t="shared" si="2"/>
        <v>0.9</v>
      </c>
      <c r="H4" s="2">
        <f t="shared" si="3"/>
        <v>0.76666400000000001</v>
      </c>
    </row>
    <row r="5" spans="3:8" x14ac:dyDescent="0.25">
      <c r="C5" t="s">
        <v>2</v>
      </c>
      <c r="D5" s="3">
        <v>225000</v>
      </c>
      <c r="E5" s="2">
        <f t="shared" si="0"/>
        <v>0.20370222222222223</v>
      </c>
      <c r="F5" s="2">
        <f t="shared" si="1"/>
        <v>0.27777777777777779</v>
      </c>
      <c r="G5" s="2">
        <f t="shared" si="2"/>
        <v>0.5</v>
      </c>
      <c r="H5" s="2">
        <f t="shared" si="3"/>
        <v>0.42592444444444444</v>
      </c>
    </row>
    <row r="6" spans="3:8" x14ac:dyDescent="0.25">
      <c r="C6" t="s">
        <v>3</v>
      </c>
      <c r="D6" s="3">
        <v>400000</v>
      </c>
      <c r="E6" s="2">
        <f t="shared" si="0"/>
        <v>0.1145825</v>
      </c>
      <c r="F6" s="2">
        <f t="shared" si="1"/>
        <v>0.15625</v>
      </c>
      <c r="G6" s="2">
        <f t="shared" si="2"/>
        <v>0.28125</v>
      </c>
      <c r="H6" s="2">
        <f t="shared" si="3"/>
        <v>0.2395825</v>
      </c>
    </row>
    <row r="7" spans="3:8" x14ac:dyDescent="0.25">
      <c r="C7" t="s">
        <v>4</v>
      </c>
      <c r="D7" s="3">
        <v>800000</v>
      </c>
      <c r="E7" s="2">
        <f t="shared" si="0"/>
        <v>5.7291250000000002E-2</v>
      </c>
      <c r="F7" s="2">
        <f t="shared" si="1"/>
        <v>7.8125E-2</v>
      </c>
      <c r="G7" s="2">
        <f t="shared" si="2"/>
        <v>0.140625</v>
      </c>
      <c r="H7" s="2">
        <f t="shared" si="3"/>
        <v>0.11979125</v>
      </c>
    </row>
    <row r="8" spans="3:8" x14ac:dyDescent="0.25">
      <c r="C8" t="s">
        <v>5</v>
      </c>
      <c r="D8" s="3">
        <v>3500000</v>
      </c>
      <c r="E8" s="2">
        <f t="shared" si="0"/>
        <v>1.3095142857142857E-2</v>
      </c>
      <c r="F8" s="2">
        <f t="shared" si="1"/>
        <v>1.7857142857142856E-2</v>
      </c>
      <c r="G8" s="2">
        <f t="shared" si="2"/>
        <v>3.214285714285714E-2</v>
      </c>
      <c r="H8" s="2">
        <f t="shared" si="3"/>
        <v>2.7380857142857144E-2</v>
      </c>
    </row>
    <row r="9" spans="3:8" x14ac:dyDescent="0.25">
      <c r="C9" t="s">
        <v>9</v>
      </c>
      <c r="D9" s="3">
        <v>4000000</v>
      </c>
      <c r="E9" s="2">
        <f t="shared" si="0"/>
        <v>1.145825E-2</v>
      </c>
      <c r="F9" s="2">
        <f t="shared" si="1"/>
        <v>1.5625E-2</v>
      </c>
      <c r="G9" s="2">
        <f t="shared" si="2"/>
        <v>2.8125000000000001E-2</v>
      </c>
      <c r="H9" s="2">
        <f t="shared" si="3"/>
        <v>2.395825E-2</v>
      </c>
    </row>
    <row r="12" spans="3:8" x14ac:dyDescent="0.25">
      <c r="C12" t="s">
        <v>15</v>
      </c>
    </row>
    <row r="13" spans="3:8" x14ac:dyDescent="0.25">
      <c r="C13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C896-4197-4E2D-91C0-A7D2890505D7}">
  <dimension ref="C1:I9"/>
  <sheetViews>
    <sheetView tabSelected="1" workbookViewId="0">
      <selection activeCell="C10" sqref="C10"/>
    </sheetView>
  </sheetViews>
  <sheetFormatPr defaultRowHeight="15" x14ac:dyDescent="0.25"/>
  <cols>
    <col min="4" max="4" width="19.28515625" hidden="1" customWidth="1"/>
    <col min="5" max="6" width="15.7109375" bestFit="1" customWidth="1"/>
    <col min="8" max="8" width="13.140625" bestFit="1" customWidth="1"/>
    <col min="9" max="9" width="14.7109375" bestFit="1" customWidth="1"/>
  </cols>
  <sheetData>
    <row r="1" spans="3:9" x14ac:dyDescent="0.25">
      <c r="C1" t="s">
        <v>0</v>
      </c>
      <c r="D1" t="s">
        <v>6</v>
      </c>
      <c r="E1" t="s">
        <v>26</v>
      </c>
      <c r="F1" t="s">
        <v>10</v>
      </c>
      <c r="G1" t="s">
        <v>11</v>
      </c>
      <c r="H1" t="s">
        <v>12</v>
      </c>
      <c r="I1" t="s">
        <v>13</v>
      </c>
    </row>
    <row r="2" spans="3:9" x14ac:dyDescent="0.25">
      <c r="C2" t="s">
        <v>7</v>
      </c>
      <c r="D2" s="3">
        <v>30000</v>
      </c>
    </row>
    <row r="3" spans="3:9" x14ac:dyDescent="0.25">
      <c r="C3" t="s">
        <v>8</v>
      </c>
      <c r="D3" s="3">
        <v>75000</v>
      </c>
    </row>
    <row r="4" spans="3:9" x14ac:dyDescent="0.25">
      <c r="C4" t="s">
        <v>1</v>
      </c>
      <c r="D4" s="3">
        <v>125000</v>
      </c>
    </row>
    <row r="5" spans="3:9" x14ac:dyDescent="0.25">
      <c r="C5" t="s">
        <v>2</v>
      </c>
      <c r="D5" s="3">
        <v>225000</v>
      </c>
      <c r="E5" t="s">
        <v>29</v>
      </c>
      <c r="F5" s="1">
        <v>0.2</v>
      </c>
      <c r="G5" s="1">
        <v>0.28000000000000003</v>
      </c>
      <c r="H5" s="1">
        <v>0.28000000000000003</v>
      </c>
      <c r="I5" s="1">
        <v>0.24</v>
      </c>
    </row>
    <row r="6" spans="3:9" x14ac:dyDescent="0.25">
      <c r="C6" t="s">
        <v>3</v>
      </c>
      <c r="D6" s="3">
        <v>400000</v>
      </c>
    </row>
    <row r="7" spans="3:9" x14ac:dyDescent="0.25">
      <c r="C7" t="s">
        <v>4</v>
      </c>
      <c r="D7" s="3">
        <v>800000</v>
      </c>
      <c r="E7" t="s">
        <v>27</v>
      </c>
      <c r="F7" s="1">
        <v>0.21</v>
      </c>
      <c r="G7" s="1">
        <v>0.26</v>
      </c>
    </row>
    <row r="8" spans="3:9" x14ac:dyDescent="0.25">
      <c r="C8" t="s">
        <v>5</v>
      </c>
      <c r="D8" s="3">
        <v>3500000</v>
      </c>
      <c r="E8" t="s">
        <v>28</v>
      </c>
      <c r="H8" s="1">
        <v>0.14000000000000001</v>
      </c>
      <c r="I8" s="1">
        <v>0.13</v>
      </c>
    </row>
    <row r="9" spans="3:9" x14ac:dyDescent="0.25">
      <c r="C9" t="s">
        <v>9</v>
      </c>
      <c r="D9" s="3">
        <v>4000000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D24-181B-4574-852D-F2B6F4386D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F0D1-9642-4E1A-B295-657EEBD54914}">
  <dimension ref="C1:H13"/>
  <sheetViews>
    <sheetView workbookViewId="0">
      <selection activeCell="C12" sqref="C12:C13"/>
    </sheetView>
  </sheetViews>
  <sheetFormatPr defaultRowHeight="15" x14ac:dyDescent="0.25"/>
  <cols>
    <col min="4" max="4" width="14.5703125" customWidth="1"/>
  </cols>
  <sheetData>
    <row r="1" spans="3:8" x14ac:dyDescent="0.25"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3:8" x14ac:dyDescent="0.25">
      <c r="C2" t="s">
        <v>7</v>
      </c>
      <c r="D2" s="3">
        <v>30000</v>
      </c>
      <c r="E2" s="2">
        <f>666666/D2</f>
        <v>22.222200000000001</v>
      </c>
      <c r="F2" s="2">
        <f>1083333/D2</f>
        <v>36.1111</v>
      </c>
      <c r="G2" s="2">
        <f>2083333/D2</f>
        <v>69.444433333333336</v>
      </c>
      <c r="H2" s="2">
        <f>1833333/D2</f>
        <v>61.1111</v>
      </c>
    </row>
    <row r="3" spans="3:8" x14ac:dyDescent="0.25">
      <c r="C3" t="s">
        <v>8</v>
      </c>
      <c r="D3" s="3">
        <v>75000</v>
      </c>
      <c r="E3" s="2">
        <f t="shared" ref="E3:E9" si="0">666666/D3</f>
        <v>8.8888800000000003</v>
      </c>
      <c r="F3" s="2">
        <f t="shared" ref="F3:F9" si="1">1083333/D3</f>
        <v>14.44444</v>
      </c>
      <c r="G3" s="2">
        <f t="shared" ref="G3:G9" si="2">2083333/D3</f>
        <v>27.777773333333332</v>
      </c>
      <c r="H3" s="2">
        <f t="shared" ref="H3:H9" si="3">1833333/D3</f>
        <v>24.44444</v>
      </c>
    </row>
    <row r="4" spans="3:8" x14ac:dyDescent="0.25">
      <c r="C4" t="s">
        <v>1</v>
      </c>
      <c r="D4" s="3">
        <v>125000</v>
      </c>
      <c r="E4" s="2">
        <f t="shared" si="0"/>
        <v>5.3333279999999998</v>
      </c>
      <c r="F4" s="2">
        <f t="shared" si="1"/>
        <v>8.6666640000000008</v>
      </c>
      <c r="G4" s="2">
        <f t="shared" si="2"/>
        <v>16.666664000000001</v>
      </c>
      <c r="H4" s="2">
        <f t="shared" si="3"/>
        <v>14.666664000000001</v>
      </c>
    </row>
    <row r="5" spans="3:8" x14ac:dyDescent="0.25">
      <c r="C5" t="s">
        <v>2</v>
      </c>
      <c r="D5" s="3">
        <v>225000</v>
      </c>
      <c r="E5" s="2">
        <f t="shared" si="0"/>
        <v>2.9629599999999998</v>
      </c>
      <c r="F5" s="2">
        <f t="shared" si="1"/>
        <v>4.8148133333333334</v>
      </c>
      <c r="G5" s="2">
        <f t="shared" si="2"/>
        <v>9.259257777777778</v>
      </c>
      <c r="H5" s="2">
        <f t="shared" si="3"/>
        <v>8.1481466666666673</v>
      </c>
    </row>
    <row r="6" spans="3:8" x14ac:dyDescent="0.25">
      <c r="C6" t="s">
        <v>3</v>
      </c>
      <c r="D6" s="3">
        <v>400000</v>
      </c>
      <c r="E6" s="2">
        <f t="shared" si="0"/>
        <v>1.6666650000000001</v>
      </c>
      <c r="F6" s="2">
        <f t="shared" si="1"/>
        <v>2.7083325</v>
      </c>
      <c r="G6" s="2">
        <f t="shared" si="2"/>
        <v>5.2083325</v>
      </c>
      <c r="H6" s="2">
        <f t="shared" si="3"/>
        <v>4.5833325</v>
      </c>
    </row>
    <row r="7" spans="3:8" x14ac:dyDescent="0.25">
      <c r="C7" t="s">
        <v>4</v>
      </c>
      <c r="D7" s="3">
        <v>800000</v>
      </c>
      <c r="E7" s="2">
        <f t="shared" si="0"/>
        <v>0.83333250000000003</v>
      </c>
      <c r="F7" s="2">
        <f t="shared" si="1"/>
        <v>1.35416625</v>
      </c>
      <c r="G7" s="2">
        <f t="shared" si="2"/>
        <v>2.60416625</v>
      </c>
      <c r="H7" s="2">
        <f t="shared" si="3"/>
        <v>2.29166625</v>
      </c>
    </row>
    <row r="8" spans="3:8" x14ac:dyDescent="0.25">
      <c r="C8" t="s">
        <v>5</v>
      </c>
      <c r="D8" s="3">
        <v>3500000</v>
      </c>
      <c r="E8" s="2">
        <f t="shared" si="0"/>
        <v>0.19047600000000001</v>
      </c>
      <c r="F8" s="2">
        <f t="shared" si="1"/>
        <v>0.30952371428571429</v>
      </c>
      <c r="G8" s="2">
        <f t="shared" si="2"/>
        <v>0.59523800000000004</v>
      </c>
      <c r="H8" s="2">
        <f t="shared" si="3"/>
        <v>0.52380942857142854</v>
      </c>
    </row>
    <row r="9" spans="3:8" x14ac:dyDescent="0.25">
      <c r="C9" t="s">
        <v>9</v>
      </c>
      <c r="D9" s="3">
        <v>4000000</v>
      </c>
      <c r="E9" s="2">
        <f t="shared" si="0"/>
        <v>0.1666665</v>
      </c>
      <c r="F9" s="2">
        <f t="shared" si="1"/>
        <v>0.27083325000000003</v>
      </c>
      <c r="G9" s="2">
        <f t="shared" si="2"/>
        <v>0.52083325000000003</v>
      </c>
      <c r="H9" s="2">
        <f t="shared" si="3"/>
        <v>0.45833325000000003</v>
      </c>
    </row>
    <row r="12" spans="3:8" x14ac:dyDescent="0.25">
      <c r="C12" t="s">
        <v>30</v>
      </c>
    </row>
    <row r="13" spans="3:8" x14ac:dyDescent="0.25">
      <c r="C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SYIG</vt:lpstr>
      <vt:lpstr>AIF</vt:lpstr>
      <vt:lpstr>IGM</vt:lpstr>
      <vt:lpstr>OM</vt:lpstr>
      <vt:lpstr>APAPA</vt:lpstr>
      <vt:lpstr>IKD</vt:lpstr>
      <vt:lpstr>MNLND AFFORDABILITY CONV BAND</vt:lpstr>
      <vt:lpstr>END OF MAINLAND</vt:lpstr>
      <vt:lpstr>LIS</vt:lpstr>
      <vt:lpstr>VO</vt:lpstr>
      <vt:lpstr>LOC</vt:lpstr>
      <vt:lpstr>ASL</vt:lpstr>
      <vt:lpstr>ISLND AFFORDABILITY 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2024-08-08T22:53:36Z</dcterms:created>
  <dcterms:modified xsi:type="dcterms:W3CDTF">2024-08-09T09:41:01Z</dcterms:modified>
</cp:coreProperties>
</file>